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45" windowWidth="9870" windowHeight="9435" tabRatio="818"/>
  </bookViews>
  <sheets>
    <sheet name="Титульный лист" sheetId="1" r:id="rId1"/>
    <sheet name="Раздел 1" sheetId="12" r:id="rId2"/>
    <sheet name="Раздел 2" sheetId="21" r:id="rId3"/>
    <sheet name="Расчет 2022г" sheetId="29" r:id="rId4"/>
  </sheets>
  <definedNames>
    <definedName name="_xlnm.Print_Area" localSheetId="1">'Раздел 1'!$A$3:$G$73</definedName>
    <definedName name="_xlnm.Print_Area" localSheetId="2">'Раздел 2'!$A$2:$I$49</definedName>
    <definedName name="_xlnm.Print_Area" localSheetId="3">'Расчет 2022г'!$A$1:$P$253</definedName>
  </definedNames>
  <calcPr calcId="124519" iterate="1"/>
</workbook>
</file>

<file path=xl/calcChain.xml><?xml version="1.0" encoding="utf-8"?>
<calcChain xmlns="http://schemas.openxmlformats.org/spreadsheetml/2006/main">
  <c r="H259" i="29"/>
  <c r="H238"/>
  <c r="G244"/>
  <c r="T237" l="1"/>
  <c r="F180"/>
  <c r="G58"/>
  <c r="R52"/>
  <c r="F25" i="21"/>
  <c r="D58" i="12"/>
  <c r="H246" i="29"/>
  <c r="F182" l="1"/>
  <c r="F187"/>
  <c r="F193"/>
  <c r="F166"/>
  <c r="F162"/>
  <c r="F164"/>
  <c r="F169"/>
  <c r="H13"/>
  <c r="F191"/>
  <c r="F184"/>
  <c r="F190"/>
  <c r="F192"/>
  <c r="F183"/>
  <c r="F167"/>
  <c r="H257"/>
  <c r="G245"/>
  <c r="H237" l="1"/>
  <c r="G151"/>
  <c r="G243" l="1"/>
  <c r="U58"/>
  <c r="F168" l="1"/>
  <c r="H244"/>
  <c r="D34" i="12"/>
  <c r="H248" i="29"/>
  <c r="G170"/>
  <c r="E81" l="1"/>
  <c r="H247"/>
  <c r="H243"/>
  <c r="H245"/>
  <c r="G204"/>
  <c r="H242" l="1"/>
  <c r="H251" s="1"/>
  <c r="K265" s="1"/>
  <c r="G189"/>
  <c r="G165" l="1"/>
  <c r="G166"/>
  <c r="G167"/>
  <c r="G168"/>
  <c r="G169"/>
  <c r="G171"/>
  <c r="U16" l="1"/>
  <c r="I15"/>
  <c r="Q15"/>
  <c r="H15"/>
  <c r="H14"/>
  <c r="G15"/>
  <c r="Q14"/>
  <c r="I14"/>
  <c r="G14"/>
  <c r="G13"/>
  <c r="Q16"/>
  <c r="O13" l="1"/>
  <c r="O17" s="1"/>
  <c r="F265" l="1"/>
  <c r="G225"/>
  <c r="F15" l="1"/>
  <c r="G163" l="1"/>
  <c r="S230"/>
  <c r="J228"/>
  <c r="G226"/>
  <c r="G224"/>
  <c r="G227"/>
  <c r="G190"/>
  <c r="J59"/>
  <c r="M13"/>
  <c r="G228" l="1"/>
  <c r="R232" s="1"/>
  <c r="M59"/>
  <c r="R54"/>
  <c r="R56"/>
  <c r="R58"/>
  <c r="Q13"/>
  <c r="G180"/>
  <c r="G194"/>
  <c r="H59"/>
  <c r="F257" s="1"/>
  <c r="G238"/>
  <c r="G192"/>
  <c r="G193"/>
  <c r="G187"/>
  <c r="H196"/>
  <c r="G188"/>
  <c r="F249"/>
  <c r="Q59" l="1"/>
  <c r="G222"/>
  <c r="H228" l="1"/>
  <c r="G185"/>
  <c r="G195"/>
  <c r="F238" l="1"/>
  <c r="F239"/>
  <c r="G148"/>
  <c r="G10" i="12"/>
  <c r="U241" i="29"/>
  <c r="I8" i="21" l="1"/>
  <c r="L263" i="29"/>
  <c r="L262"/>
  <c r="L261"/>
  <c r="L259"/>
  <c r="L258"/>
  <c r="L257"/>
  <c r="E34" i="12"/>
  <c r="E30" s="1"/>
  <c r="F34"/>
  <c r="F30" s="1"/>
  <c r="E55"/>
  <c r="G8" i="21" s="1"/>
  <c r="F55" i="12"/>
  <c r="H8" i="21" s="1"/>
  <c r="G55" i="12"/>
  <c r="D55"/>
  <c r="E44"/>
  <c r="F44"/>
  <c r="D44"/>
  <c r="N251" i="29"/>
  <c r="T183"/>
  <c r="E14" i="12"/>
  <c r="F14"/>
  <c r="G14"/>
  <c r="D14"/>
  <c r="H258" i="29"/>
  <c r="E19" i="12"/>
  <c r="F19"/>
  <c r="G19"/>
  <c r="D19"/>
  <c r="D11" l="1"/>
  <c r="L260" i="29"/>
  <c r="D30" i="12"/>
  <c r="F11"/>
  <c r="E11"/>
  <c r="H15" i="21"/>
  <c r="H29" s="1"/>
  <c r="H1"/>
  <c r="G15"/>
  <c r="G29" s="1"/>
  <c r="G1"/>
  <c r="L265" i="29"/>
  <c r="F8" i="21"/>
  <c r="F29" i="12"/>
  <c r="D29"/>
  <c r="E29"/>
  <c r="H260" i="29"/>
  <c r="L266" l="1"/>
  <c r="D10" i="12"/>
  <c r="D2" s="1"/>
  <c r="F10"/>
  <c r="D1"/>
  <c r="F2"/>
  <c r="F1"/>
  <c r="E10"/>
  <c r="F1" i="21"/>
  <c r="F15"/>
  <c r="F29" s="1"/>
  <c r="E1" i="12"/>
  <c r="E2"/>
  <c r="E16" i="29" l="1"/>
  <c r="F14"/>
  <c r="I16" l="1"/>
  <c r="G16"/>
  <c r="F16" s="1"/>
  <c r="H16"/>
  <c r="J14"/>
  <c r="K14" s="1"/>
  <c r="G162"/>
  <c r="F153"/>
  <c r="G153" s="1"/>
  <c r="H82"/>
  <c r="K259"/>
  <c r="K251"/>
  <c r="F250"/>
  <c r="F245"/>
  <c r="F244"/>
  <c r="F243"/>
  <c r="F241"/>
  <c r="F240"/>
  <c r="I251"/>
  <c r="F236"/>
  <c r="G205"/>
  <c r="H205" s="1"/>
  <c r="M196"/>
  <c r="G191"/>
  <c r="G186"/>
  <c r="G184"/>
  <c r="G183"/>
  <c r="G182"/>
  <c r="G181"/>
  <c r="M172"/>
  <c r="H172"/>
  <c r="J172"/>
  <c r="G164"/>
  <c r="I154"/>
  <c r="J154" s="1"/>
  <c r="G152"/>
  <c r="G150"/>
  <c r="G149"/>
  <c r="H131"/>
  <c r="G130"/>
  <c r="G129"/>
  <c r="G120"/>
  <c r="G111"/>
  <c r="E100"/>
  <c r="K263" s="1"/>
  <c r="E91"/>
  <c r="K262" s="1"/>
  <c r="E80"/>
  <c r="Q80" s="1"/>
  <c r="G54"/>
  <c r="R57"/>
  <c r="R53" s="1"/>
  <c r="H35"/>
  <c r="K258" s="1"/>
  <c r="E26"/>
  <c r="G26" s="1"/>
  <c r="P17"/>
  <c r="N17"/>
  <c r="M17"/>
  <c r="F13"/>
  <c r="G172" l="1"/>
  <c r="S14"/>
  <c r="M263"/>
  <c r="N263"/>
  <c r="M258"/>
  <c r="N258"/>
  <c r="M262"/>
  <c r="N262"/>
  <c r="M259"/>
  <c r="N259"/>
  <c r="F259"/>
  <c r="D259" s="1"/>
  <c r="G196"/>
  <c r="J13"/>
  <c r="K13" s="1"/>
  <c r="J15"/>
  <c r="K15" s="1"/>
  <c r="L14"/>
  <c r="J16"/>
  <c r="K16" s="1"/>
  <c r="S251"/>
  <c r="F91"/>
  <c r="K264"/>
  <c r="Q172"/>
  <c r="I82"/>
  <c r="K261"/>
  <c r="I35"/>
  <c r="S99"/>
  <c r="F100"/>
  <c r="I131"/>
  <c r="J196"/>
  <c r="F258" s="1"/>
  <c r="T241"/>
  <c r="U242" s="1"/>
  <c r="T242" s="1"/>
  <c r="T165"/>
  <c r="R172" l="1"/>
  <c r="L13"/>
  <c r="S15"/>
  <c r="R15" s="1"/>
  <c r="S13"/>
  <c r="R13" s="1"/>
  <c r="S252"/>
  <c r="U251"/>
  <c r="S16"/>
  <c r="R16" s="1"/>
  <c r="N265"/>
  <c r="G258"/>
  <c r="D258"/>
  <c r="G259"/>
  <c r="M264"/>
  <c r="N264"/>
  <c r="M261"/>
  <c r="N261"/>
  <c r="T166"/>
  <c r="T184"/>
  <c r="Q173"/>
  <c r="Q196"/>
  <c r="Q197" s="1"/>
  <c r="G27" i="12"/>
  <c r="L15" i="29" l="1"/>
  <c r="L16"/>
  <c r="K17"/>
  <c r="V16" s="1"/>
  <c r="S196"/>
  <c r="M265"/>
  <c r="L17" l="1"/>
  <c r="D257" s="1"/>
  <c r="K257"/>
  <c r="M257" s="1"/>
  <c r="U17"/>
  <c r="F53"/>
  <c r="G53" s="1"/>
  <c r="F58" l="1"/>
  <c r="G52"/>
  <c r="F57"/>
  <c r="G57" s="1"/>
  <c r="F56"/>
  <c r="G56" s="1"/>
  <c r="G257"/>
  <c r="G260" s="1"/>
  <c r="F260"/>
  <c r="G55" l="1"/>
  <c r="G59" s="1"/>
  <c r="K260" s="1"/>
  <c r="N260" s="1"/>
  <c r="Q60" l="1"/>
  <c r="S59"/>
  <c r="U59"/>
  <c r="U60"/>
  <c r="M260"/>
  <c r="K266"/>
  <c r="N266" s="1"/>
  <c r="M266" l="1"/>
  <c r="K268"/>
  <c r="K267"/>
</calcChain>
</file>

<file path=xl/sharedStrings.xml><?xml version="1.0" encoding="utf-8"?>
<sst xmlns="http://schemas.openxmlformats.org/spreadsheetml/2006/main" count="1204" uniqueCount="430">
  <si>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</si>
  <si>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</si>
  <si>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</si>
  <si>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</si>
  <si>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</si>
  <si>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</si>
  <si>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</si>
  <si>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</si>
  <si>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</si>
  <si>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</si>
  <si>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</si>
  <si>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</si>
  <si>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</si>
  <si>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</si>
  <si>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</si>
  <si>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</si>
  <si>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</si>
  <si>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</si>
  <si>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</si>
  <si>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</si>
  <si>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</si>
  <si>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</si>
  <si>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</si>
  <si>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</si>
  <si>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</si>
  <si>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</si>
  <si>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</si>
  <si>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</si>
  <si>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</si>
  <si>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</si>
  <si>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</si>
  <si>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</si>
  <si>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</si>
  <si>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</si>
  <si>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</si>
  <si>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</si>
  <si>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</si>
  <si>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</si>
  <si>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</si>
  <si>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</si>
  <si>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</si>
  <si>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</si>
  <si>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</si>
  <si>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</si>
  <si>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</si>
  <si>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</si>
  <si>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</si>
  <si>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</si>
  <si>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</si>
  <si>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</si>
  <si>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</si>
  <si>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</si>
  <si>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</si>
  <si>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</si>
  <si>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</si>
  <si>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</si>
  <si>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</si>
  <si>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</si>
  <si>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</si>
  <si>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</si>
  <si>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</si>
  <si>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</si>
  <si>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</si>
  <si>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</si>
  <si>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</si>
  <si>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</si>
  <si>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</si>
  <si>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</si>
  <si>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</si>
  <si>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</si>
  <si>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</si>
  <si>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</si>
  <si>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</si>
  <si>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</si>
  <si>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</si>
  <si>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</si>
  <si>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</si>
  <si>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</si>
  <si>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</si>
  <si>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</si>
  <si>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</si>
  <si>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</si>
  <si>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</si>
  <si>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</si>
  <si>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</si>
  <si>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</si>
  <si>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</si>
  <si>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</si>
  <si>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</si>
  <si>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</si>
  <si>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</si>
  <si>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</si>
  <si>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2140</t>
  </si>
  <si>
    <t>в том числе:                                                                              на выплаты по оплате труда</t>
  </si>
  <si>
    <t>2141</t>
  </si>
  <si>
    <t>на иные выплаты работникам</t>
  </si>
  <si>
    <t>2142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</si>
  <si>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</si>
  <si>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</si>
  <si>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</si>
  <si>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</si>
  <si>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</si>
  <si>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</si>
  <si>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</si>
  <si>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</si>
  <si>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</si>
  <si>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</si>
  <si>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</si>
  <si>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</si>
  <si>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</si>
  <si>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</si>
  <si>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</si>
  <si>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</si>
  <si>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</si>
  <si>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</si>
  <si>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</si>
  <si>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</si>
  <si>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</si>
  <si>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</si>
  <si>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</si>
  <si>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</si>
  <si>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</si>
  <si>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</si>
  <si>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</si>
  <si>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</si>
  <si>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</si>
  <si>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</si>
  <si>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</si>
  <si>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</si>
  <si>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</si>
  <si>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</si>
  <si>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</si>
  <si>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</si>
  <si>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</si>
  <si>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</si>
  <si>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</si>
  <si>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</si>
  <si>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</si>
  <si>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</si>
  <si>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</si>
  <si>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</si>
  <si>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</si>
  <si>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</si>
  <si>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</si>
  <si>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</si>
  <si>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</si>
  <si>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</si>
  <si>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</si>
  <si>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</si>
  <si>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</si>
  <si>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</si>
  <si>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</si>
  <si>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</si>
  <si>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</si>
  <si>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</si>
  <si>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</si>
  <si>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</si>
  <si>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</si>
  <si>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</si>
  <si>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</si>
  <si>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</si>
  <si>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</si>
  <si>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</si>
  <si>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</si>
  <si>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</si>
  <si>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</si>
  <si>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</si>
  <si>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</si>
  <si>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</si>
  <si>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</si>
  <si>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</si>
  <si>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</si>
  <si>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</si>
  <si>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</si>
  <si>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</si>
  <si>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</si>
  <si>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</si>
  <si>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</si>
  <si>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</si>
  <si>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</si>
  <si>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</si>
  <si>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</si>
  <si>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</si>
  <si>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</si>
  <si>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</si>
  <si>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</si>
  <si>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</si>
  <si>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</si>
  <si>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>Руководитель учреждения   _________________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</si>
  <si>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</si>
  <si>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</si>
  <si>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</si>
  <si>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</si>
  <si>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</si>
  <si>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</si>
  <si>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</si>
  <si>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</si>
  <si>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</si>
  <si>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</si>
  <si>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</si>
  <si>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</si>
  <si>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</si>
  <si>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</si>
  <si>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</si>
  <si>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</si>
  <si>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</si>
  <si>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</si>
  <si>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</si>
  <si>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</si>
  <si>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</si>
  <si>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</si>
  <si>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</si>
  <si>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</si>
  <si>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</si>
  <si>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</si>
  <si>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</si>
  <si>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</si>
  <si>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</si>
  <si>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</si>
  <si>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</si>
  <si>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</si>
  <si>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</si>
  <si>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</si>
  <si>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</si>
  <si>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</si>
  <si>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</si>
  <si>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</si>
  <si>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</si>
  <si>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</si>
  <si>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</si>
  <si>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</si>
  <si>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5.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</si>
  <si>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</si>
  <si>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</si>
  <si>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</si>
  <si>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</si>
  <si>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</si>
  <si>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</si>
  <si>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</si>
  <si>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</si>
  <si>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</si>
  <si>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</si>
  <si>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</si>
  <si>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</si>
  <si>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</si>
  <si>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</si>
  <si>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</si>
  <si>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</si>
  <si>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</si>
  <si>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</si>
  <si>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</si>
  <si>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</si>
  <si>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</si>
  <si>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</si>
  <si>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</si>
  <si>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</si>
  <si>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</si>
  <si>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</si>
  <si>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</si>
  <si>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</si>
  <si>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</si>
  <si>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</si>
  <si>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</si>
  <si>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</si>
  <si>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Оплата услуг по вывозу ТКО</t>
  </si>
  <si>
    <t>Приобретение продуктов питания</t>
  </si>
  <si>
    <t>Приобретение горюче-смазочных материалов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</si>
  <si>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</si>
  <si>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</si>
  <si>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</si>
  <si>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</si>
  <si>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</si>
  <si>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</si>
  <si>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Оплата услуг водоснабжения</t>
  </si>
  <si>
    <t>Техническое обслуживание тахографа</t>
  </si>
  <si>
    <t>7.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</si>
  <si>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</si>
  <si>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</si>
  <si>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Медицинское освидетельствование водителей</t>
  </si>
  <si>
    <t>Гигиеническое обучение, лабораторно-производственный контроль, паразитологическое исследование</t>
  </si>
  <si>
    <t>Услуги охраны</t>
  </si>
  <si>
    <t>Подписка периодической печати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</si>
  <si>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</si>
  <si>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</si>
  <si>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</si>
  <si>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Зап.части для транспортного средства</t>
  </si>
  <si>
    <t>5.5.</t>
  </si>
  <si>
    <t>Выплаты по больничным листам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</si>
  <si>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</si>
  <si>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</si>
  <si>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</si>
  <si>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</si>
  <si>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</si>
  <si>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</si>
  <si>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</si>
  <si>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</si>
  <si>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</si>
  <si>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</si>
  <si>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</si>
  <si>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</si>
  <si>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</si>
  <si>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</si>
  <si>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</si>
  <si>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</si>
  <si>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</si>
  <si>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</si>
  <si>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</si>
  <si>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ст.223</t>
  </si>
  <si>
    <t>ст.225</t>
  </si>
  <si>
    <t>ст.226</t>
  </si>
  <si>
    <t>ст.227</t>
  </si>
  <si>
    <t>ст.340</t>
  </si>
  <si>
    <t>Технический осмотр транспортного средства</t>
  </si>
  <si>
    <t>ИЦ</t>
  </si>
  <si>
    <t>Приобретение строительных материалов (краска)</t>
  </si>
  <si>
    <t>ст.341</t>
  </si>
  <si>
    <t>ст.342</t>
  </si>
  <si>
    <t>ст.343</t>
  </si>
  <si>
    <t>ст.344</t>
  </si>
  <si>
    <t>ст.346</t>
  </si>
  <si>
    <t>ст.349</t>
  </si>
  <si>
    <t xml:space="preserve">МЗ </t>
  </si>
  <si>
    <t>Курсы повышения квалификации</t>
  </si>
  <si>
    <t>ВР 113</t>
  </si>
  <si>
    <t>Директор</t>
  </si>
  <si>
    <t>Муниципальное бюджетное общеобразовательное учреждение «Бурдыгинская средняя общеобразовательная школа» Сорочинского городского округа Оренбургской области</t>
  </si>
  <si>
    <t>ВР 851</t>
  </si>
  <si>
    <t>ВР 852</t>
  </si>
  <si>
    <t>ВР 853</t>
  </si>
  <si>
    <t>ВР</t>
  </si>
  <si>
    <t>ВСЕГО</t>
  </si>
  <si>
    <t>Приобретение транспортного средства</t>
  </si>
  <si>
    <t>Педагогические работники ОУ</t>
  </si>
  <si>
    <t>Педагогические работники ДОУ</t>
  </si>
  <si>
    <t>Установленная среднесписочная численность, (единиц)</t>
  </si>
  <si>
    <t>МЗ субв. ОУ</t>
  </si>
  <si>
    <t>МЗ субв.ДОУ</t>
  </si>
  <si>
    <t>МЗ мест. ОУ</t>
  </si>
  <si>
    <t>МЗ мест.ДОУ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</si>
  <si>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</si>
  <si>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</si>
  <si>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</si>
  <si>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остаток</t>
  </si>
  <si>
    <t xml:space="preserve">муниципальное бюджетное общеобразовательное учреждение "Бурдыгинская средняя общеобразовательная школа" Сорочинского городского округа  Оренбургской области </t>
  </si>
  <si>
    <t>Приобретение продуктов питания СОШ</t>
  </si>
  <si>
    <t>Приобретение продуктов питания ДОУ</t>
  </si>
  <si>
    <t>Х</t>
  </si>
  <si>
    <t>Раздел 1. Поступления и выплаты</t>
  </si>
  <si>
    <t>Компенсация дополнительных расходов, связанных с проживанием вне места постоянного проживания (проживание,проезд)</t>
  </si>
  <si>
    <t>МЗ субвенция</t>
  </si>
  <si>
    <t>5.7. Расчет (обоснование) расходов на услуги, работы для целей капитальных вложений</t>
  </si>
  <si>
    <t xml:space="preserve">Цена услуги </t>
  </si>
  <si>
    <t>5.8.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</si>
  <si>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</si>
  <si>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 xml:space="preserve">Оплата за усл.по проведен.негосударств.экспертизы сметы на "Устройство оградж.территории </t>
  </si>
  <si>
    <t>из них:                                                                                       гранты, предоставляемые бюджетными учреждениями</t>
  </si>
  <si>
    <t>2420</t>
  </si>
  <si>
    <t>Код бюджетной классификации Российской Федерации</t>
  </si>
  <si>
    <t>4.1.</t>
  </si>
  <si>
    <t>1.3.1.</t>
  </si>
  <si>
    <t>в том числе:                                                          в соответсвии с Федеральным законом №44-ФЗ</t>
  </si>
  <si>
    <t>26310</t>
  </si>
  <si>
    <t>из них по Указам Президента РФ от 07.05.2018 г. №204</t>
  </si>
  <si>
    <t>26310.1</t>
  </si>
  <si>
    <t>1.3.2.</t>
  </si>
  <si>
    <t xml:space="preserve"> в соответсвии с Федеральным законом №223-ФЗ</t>
  </si>
  <si>
    <t>26320</t>
  </si>
  <si>
    <t>26421.1</t>
  </si>
  <si>
    <t>26430.1</t>
  </si>
  <si>
    <t>26451.1</t>
  </si>
  <si>
    <t>иные</t>
  </si>
  <si>
    <t>Дератизация, дезинфекция</t>
  </si>
  <si>
    <t>Бактерицидные рециркулятор</t>
  </si>
  <si>
    <t>Ограждение территории</t>
  </si>
  <si>
    <t>Бесконтактный термометр</t>
  </si>
  <si>
    <t>Рулонные жалюзи</t>
  </si>
  <si>
    <t>Классные журналы</t>
  </si>
  <si>
    <t>2143</t>
  </si>
  <si>
    <t>закупка энергетических ресурсов</t>
  </si>
  <si>
    <t>2650</t>
  </si>
  <si>
    <t>Приобретение прочих материальных запасов(тонер, катридж)</t>
  </si>
  <si>
    <r>
      <t>_________________/</t>
    </r>
    <r>
      <rPr>
        <u/>
        <sz val="12"/>
        <color theme="1"/>
        <rFont val="Times New Roman"/>
        <family val="1"/>
        <charset val="204"/>
      </rPr>
      <t xml:space="preserve">    Н.В.Чуносова     </t>
    </r>
    <r>
      <rPr>
        <sz val="12"/>
        <color theme="1"/>
        <rFont val="Times New Roman"/>
        <family val="1"/>
        <charset val="204"/>
      </rPr>
      <t>/</t>
    </r>
  </si>
  <si>
    <t>Чуносова Н.В.</t>
  </si>
  <si>
    <t>взносы на обязательное социальное страхование в части выплат персоналу, подлежащих обложению страховыми взносами</t>
  </si>
  <si>
    <t>гранты, предоставляемые автономными учреждениями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</si>
  <si>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</si>
  <si>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</si>
  <si>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</si>
  <si>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</si>
  <si>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Компенсация дополнительных расходов, связанных с проживанием вне места постоянного проживания (суточные)</t>
  </si>
  <si>
    <t>Поверка манометра</t>
  </si>
  <si>
    <t>Обеспечение функционирования системы обучения, инструктажа и проверки знаний правил, норм и инструкций по охране труда, пожарной безопасности, оказанию первой медицинской помощи пострадавшим, организации производственного контроля условий труда работников, включая руководителей и специалистов</t>
  </si>
  <si>
    <t>Услуги хостинга</t>
  </si>
  <si>
    <t>остаток на 01.01.2022г</t>
  </si>
  <si>
    <t>Пюржавель</t>
  </si>
  <si>
    <t>Комиссия банка</t>
  </si>
  <si>
    <t>Повышение безопасности муниципальных учреждений культуры, образования, физической культуры и спорта</t>
  </si>
  <si>
    <t>Стоянка автомобиля</t>
  </si>
  <si>
    <t>Приобретение аттестатов</t>
  </si>
  <si>
    <t>5.1.</t>
  </si>
  <si>
    <t>5.2.</t>
  </si>
  <si>
    <t>5.3.</t>
  </si>
  <si>
    <t>5.4.</t>
  </si>
  <si>
    <t>План финансово-хозяйственной деятельности на 2023 г.</t>
  </si>
  <si>
    <t>(на 2023 г. и плановый период 2024 и 2025 годов)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</si>
  <si>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</si>
  <si>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</si>
  <si>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</si>
  <si>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бюджетного общеобразовательного учреждения «Бурдыгинская средняя общеобразовательная школа» Сорочинского городского округа Оренбургской области на 2023 год</t>
  </si>
  <si>
    <t>Модернизация и установка техническое обслуживание систем видеонаблюдения</t>
  </si>
  <si>
    <t>Ремонт и установка  ограждение территорий</t>
  </si>
  <si>
    <t>Профилактика терроризма и экстремизма</t>
  </si>
  <si>
    <t xml:space="preserve">Страхование </t>
  </si>
  <si>
    <t>Прочие</t>
  </si>
  <si>
    <t>«___»   ______________ 2023 г.</t>
  </si>
  <si>
    <t>"___" ____________ 2023 г.</t>
  </si>
  <si>
    <t>Установка систем оповещения и управления эвакеуацией</t>
  </si>
  <si>
    <t xml:space="preserve"> за ПК Педагогических работников через разработку и сопровож. </t>
  </si>
  <si>
    <t>Оплата услуг водоотведения и вывоз жидких бытовых отходов при отсутствии центральной системы канализации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</si>
  <si>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</si>
  <si>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</si>
  <si>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</si>
  <si>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"____" ______________ 2023г.</t>
  </si>
  <si>
    <t>Заместитель главы администрации городского округа по социальным вопросам - начальник Управления образования</t>
  </si>
  <si>
    <t>от "29" декабря  2023 г.</t>
  </si>
  <si>
    <t>Куркина Т.В. 8(35346)4-26-53</t>
  </si>
  <si>
    <t>Разработка сметной документации</t>
  </si>
  <si>
    <t>Преобразователь расхода, тепловычислитель</t>
  </si>
  <si>
    <t>5.6.</t>
  </si>
  <si>
    <t>Прибор охранно-пожарный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</si>
</sst>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2" fillId="0" borderId="0" xfId="0" applyNumberFormat="1" applyFont="1"/>
    <xf numFmtId="2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165" fontId="17" fillId="0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7" fillId="0" borderId="0" xfId="0" applyFont="1" applyFill="1"/>
    <xf numFmtId="0" fontId="1" fillId="0" borderId="1" xfId="0" applyFont="1" applyFill="1" applyBorder="1"/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  <xf numFmtId="2" fontId="17" fillId="0" borderId="1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2" fontId="17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165" fontId="0" fillId="0" borderId="0" xfId="0" applyNumberFormat="1" applyFill="1"/>
    <xf numFmtId="0" fontId="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165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165" fontId="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7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2" fontId="17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0" fontId="0" fillId="0" borderId="0" xfId="0" applyFill="1" applyAlignment="1">
      <alignment horizontal="right"/>
    </xf>
    <xf numFmtId="4" fontId="17" fillId="0" borderId="0" xfId="0" applyNumberFormat="1" applyFont="1" applyFill="1"/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2" fontId="16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5" xfId="2" applyFont="1" applyFill="1" applyBorder="1" applyAlignment="1" applyProtection="1">
      <alignment horizontal="center" vertical="top" wrapText="1"/>
    </xf>
    <xf numFmtId="0" fontId="11" fillId="0" borderId="12" xfId="2" applyFont="1" applyFill="1" applyBorder="1" applyAlignment="1" applyProtection="1">
      <alignment horizontal="center" vertical="top" wrapText="1"/>
    </xf>
    <xf numFmtId="0" fontId="11" fillId="0" borderId="13" xfId="2" applyFont="1" applyFill="1" applyBorder="1" applyAlignment="1" applyProtection="1">
      <alignment horizontal="center" vertical="top" wrapText="1"/>
    </xf>
    <xf numFmtId="0" fontId="11" fillId="0" borderId="14" xfId="2" applyFont="1" applyFill="1" applyBorder="1" applyAlignment="1" applyProtection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tabSelected="1" view="pageBreakPreview" zoomScale="70" zoomScaleSheetLayoutView="70" workbookViewId="0">
      <selection activeCell="B11" sqref="B11:H11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197" t="s">
        <v>0</v>
      </c>
      <c r="I1" s="197"/>
    </row>
    <row r="2" spans="1:9" ht="15.75">
      <c r="A2" s="2"/>
      <c r="B2" s="2"/>
      <c r="C2" s="2"/>
      <c r="D2" s="2"/>
      <c r="E2" s="2"/>
      <c r="F2" s="2"/>
      <c r="G2" s="202" t="s">
        <v>324</v>
      </c>
      <c r="H2" s="202"/>
      <c r="I2" s="202"/>
    </row>
    <row r="3" spans="1:9" ht="13.5" customHeight="1">
      <c r="A3" s="2"/>
      <c r="B3" s="2"/>
      <c r="C3" s="2"/>
      <c r="D3" s="2"/>
      <c r="E3" s="2"/>
      <c r="F3" s="2"/>
      <c r="G3" s="203" t="s">
        <v>38</v>
      </c>
      <c r="H3" s="203"/>
      <c r="I3" s="203"/>
    </row>
    <row r="4" spans="1:9" ht="72.75" customHeight="1">
      <c r="A4" s="2"/>
      <c r="B4" s="2"/>
      <c r="C4" s="2"/>
      <c r="D4" s="2"/>
      <c r="E4" s="2"/>
      <c r="F4" s="2"/>
      <c r="G4" s="204" t="s">
        <v>343</v>
      </c>
      <c r="H4" s="204"/>
      <c r="I4" s="204"/>
    </row>
    <row r="5" spans="1:9" ht="15.75">
      <c r="A5" s="2"/>
      <c r="B5" s="2"/>
      <c r="C5" s="2"/>
      <c r="D5" s="2"/>
      <c r="E5" s="2"/>
      <c r="F5" s="2"/>
      <c r="G5" s="205" t="s">
        <v>39</v>
      </c>
      <c r="H5" s="205"/>
      <c r="I5" s="205"/>
    </row>
    <row r="6" spans="1:9" ht="15.75">
      <c r="A6" s="2"/>
      <c r="B6" s="2"/>
      <c r="C6" s="2"/>
      <c r="D6" s="2"/>
      <c r="E6" s="2"/>
      <c r="F6" s="2"/>
      <c r="G6" s="2"/>
      <c r="H6" s="2"/>
      <c r="I6" s="1" t="s">
        <v>381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414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198" t="s">
        <v>403</v>
      </c>
      <c r="C10" s="198"/>
      <c r="D10" s="198"/>
      <c r="E10" s="198"/>
      <c r="F10" s="198"/>
      <c r="G10" s="198"/>
      <c r="H10" s="198"/>
      <c r="I10" s="2"/>
    </row>
    <row r="11" spans="1:9" ht="15.75">
      <c r="A11" s="2"/>
      <c r="B11" s="198" t="s">
        <v>404</v>
      </c>
      <c r="C11" s="198"/>
      <c r="D11" s="198"/>
      <c r="E11" s="198"/>
      <c r="F11" s="198"/>
      <c r="G11" s="198"/>
      <c r="H11" s="198"/>
      <c r="I11" s="24"/>
    </row>
    <row r="12" spans="1:9" ht="15.75">
      <c r="A12" s="2"/>
      <c r="B12" s="2"/>
      <c r="C12" s="2"/>
      <c r="D12" s="2"/>
      <c r="E12" s="4"/>
      <c r="F12" s="2"/>
      <c r="G12" s="2"/>
      <c r="H12" s="2"/>
      <c r="I12" s="24"/>
    </row>
    <row r="13" spans="1:9" ht="15.75">
      <c r="A13" s="2"/>
      <c r="B13" s="199" t="s">
        <v>424</v>
      </c>
      <c r="C13" s="199"/>
      <c r="D13" s="199"/>
      <c r="E13" s="199"/>
      <c r="F13" s="199"/>
      <c r="G13" s="199"/>
      <c r="H13" s="199"/>
      <c r="I13" s="101" t="s">
        <v>17</v>
      </c>
    </row>
    <row r="14" spans="1:9" ht="15.75">
      <c r="A14" s="2"/>
      <c r="B14" s="102"/>
      <c r="C14" s="102"/>
      <c r="D14" s="102"/>
      <c r="E14" s="102"/>
      <c r="F14" s="102"/>
      <c r="G14" s="102"/>
      <c r="H14" s="103" t="s">
        <v>16</v>
      </c>
      <c r="I14" s="104">
        <v>45289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1" t="s">
        <v>41</v>
      </c>
      <c r="I15" s="15"/>
    </row>
    <row r="16" spans="1:9" ht="55.5" customHeight="1">
      <c r="A16" s="200" t="s">
        <v>1</v>
      </c>
      <c r="B16" s="200"/>
      <c r="C16" s="200"/>
      <c r="D16" s="201" t="s">
        <v>243</v>
      </c>
      <c r="E16" s="201"/>
      <c r="F16" s="201"/>
      <c r="G16" s="201"/>
      <c r="H16" s="22" t="s">
        <v>42</v>
      </c>
      <c r="I16" s="8">
        <v>771</v>
      </c>
    </row>
    <row r="17" spans="1:9" ht="22.5" customHeight="1">
      <c r="A17" s="17"/>
      <c r="B17" s="17"/>
      <c r="C17" s="17"/>
      <c r="D17" s="17"/>
      <c r="E17" s="19"/>
      <c r="F17" s="19"/>
      <c r="G17" s="19"/>
      <c r="H17" s="21" t="s">
        <v>41</v>
      </c>
      <c r="I17" s="9"/>
    </row>
    <row r="18" spans="1:9" ht="20.25" customHeight="1">
      <c r="A18" s="17"/>
      <c r="B18" s="17"/>
      <c r="C18" s="17"/>
      <c r="D18" s="17"/>
      <c r="E18" s="18"/>
      <c r="F18" s="19"/>
      <c r="G18" s="19"/>
      <c r="H18" s="20" t="s">
        <v>43</v>
      </c>
      <c r="I18" s="8">
        <v>5647005319</v>
      </c>
    </row>
    <row r="19" spans="1:9" ht="71.25" customHeight="1">
      <c r="A19" s="200" t="s">
        <v>46</v>
      </c>
      <c r="B19" s="200"/>
      <c r="C19" s="200"/>
      <c r="D19" s="201" t="s">
        <v>325</v>
      </c>
      <c r="E19" s="201"/>
      <c r="F19" s="201"/>
      <c r="G19" s="201"/>
      <c r="H19" s="20" t="s">
        <v>44</v>
      </c>
      <c r="I19" s="51">
        <v>564701001</v>
      </c>
    </row>
    <row r="20" spans="1:9" ht="24" customHeight="1">
      <c r="A20" s="200" t="s">
        <v>45</v>
      </c>
      <c r="B20" s="200"/>
      <c r="C20" s="200"/>
      <c r="D20" s="200"/>
      <c r="E20" s="23"/>
      <c r="F20" s="23"/>
      <c r="G20" s="23"/>
      <c r="H20" s="22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0"/>
  <sheetViews>
    <sheetView view="pageBreakPreview" zoomScale="70" zoomScaleNormal="90" zoomScaleSheetLayoutView="70" workbookViewId="0">
      <selection activeCell="D59" sqref="D59"/>
    </sheetView>
  </sheetViews>
  <sheetFormatPr defaultRowHeight="15"/>
  <cols>
    <col min="1" max="1" width="47.28515625" customWidth="1"/>
    <col min="3" max="3" width="15.140625" customWidth="1"/>
    <col min="4" max="4" width="15.85546875" style="60" customWidth="1"/>
    <col min="5" max="5" width="15.140625" style="60" customWidth="1"/>
    <col min="6" max="6" width="15.42578125" style="60" customWidth="1"/>
    <col min="7" max="7" width="16.7109375" style="60" customWidth="1"/>
    <col min="8" max="8" width="12" bestFit="1" customWidth="1"/>
  </cols>
  <sheetData>
    <row r="1" spans="1:8">
      <c r="D1" s="59">
        <f>D11-D29</f>
        <v>3386.5300000011921</v>
      </c>
      <c r="E1" s="59">
        <f>E11-E29</f>
        <v>0</v>
      </c>
      <c r="F1" s="59">
        <f>F11-F29</f>
        <v>0</v>
      </c>
    </row>
    <row r="2" spans="1:8">
      <c r="D2" s="60" t="b">
        <f>D11+D9-D10=D29</f>
        <v>1</v>
      </c>
      <c r="E2" s="60" t="b">
        <f>E11=E29</f>
        <v>1</v>
      </c>
      <c r="F2" s="60" t="b">
        <f>F11=F29</f>
        <v>1</v>
      </c>
    </row>
    <row r="4" spans="1:8" ht="15.75">
      <c r="B4" s="197" t="s">
        <v>347</v>
      </c>
      <c r="C4" s="197"/>
      <c r="D4" s="197"/>
      <c r="E4" s="197"/>
    </row>
    <row r="5" spans="1:8" ht="15.75">
      <c r="A5" s="12"/>
    </row>
    <row r="6" spans="1:8" ht="33.75" customHeight="1">
      <c r="A6" s="206" t="s">
        <v>3</v>
      </c>
      <c r="B6" s="206" t="s">
        <v>5</v>
      </c>
      <c r="C6" s="206" t="s">
        <v>6</v>
      </c>
      <c r="D6" s="207" t="s">
        <v>47</v>
      </c>
      <c r="E6" s="207"/>
      <c r="F6" s="207"/>
      <c r="G6" s="207"/>
      <c r="H6" s="11"/>
    </row>
    <row r="7" spans="1:8" ht="111" customHeight="1">
      <c r="A7" s="206"/>
      <c r="B7" s="206"/>
      <c r="C7" s="206"/>
      <c r="D7" s="105" t="s">
        <v>405</v>
      </c>
      <c r="E7" s="105" t="s">
        <v>406</v>
      </c>
      <c r="F7" s="105" t="s">
        <v>407</v>
      </c>
      <c r="G7" s="61" t="s">
        <v>48</v>
      </c>
      <c r="H7" s="11"/>
    </row>
    <row r="8" spans="1:8" ht="15.75">
      <c r="A8" s="31">
        <v>1</v>
      </c>
      <c r="B8" s="31">
        <v>2</v>
      </c>
      <c r="C8" s="31">
        <v>3</v>
      </c>
      <c r="D8" s="95">
        <v>4</v>
      </c>
      <c r="E8" s="95">
        <v>5</v>
      </c>
      <c r="F8" s="95">
        <v>6</v>
      </c>
      <c r="G8" s="95">
        <v>7</v>
      </c>
      <c r="H8" s="11"/>
    </row>
    <row r="9" spans="1:8" ht="31.5">
      <c r="A9" s="39" t="s">
        <v>49</v>
      </c>
      <c r="B9" s="33" t="s">
        <v>57</v>
      </c>
      <c r="C9" s="28" t="s">
        <v>12</v>
      </c>
      <c r="D9" s="62">
        <v>17287.38</v>
      </c>
      <c r="E9" s="62">
        <v>0</v>
      </c>
      <c r="F9" s="62">
        <v>0</v>
      </c>
      <c r="G9" s="62">
        <v>0</v>
      </c>
      <c r="H9" s="16"/>
    </row>
    <row r="10" spans="1:8" ht="31.5">
      <c r="A10" s="39" t="s">
        <v>50</v>
      </c>
      <c r="B10" s="33" t="s">
        <v>58</v>
      </c>
      <c r="C10" s="28" t="s">
        <v>12</v>
      </c>
      <c r="D10" s="99">
        <f>D9+D11-D29</f>
        <v>20673.910000000149</v>
      </c>
      <c r="E10" s="63">
        <f>E9+E11-E29</f>
        <v>0</v>
      </c>
      <c r="F10" s="63">
        <f>F9+F11-F29</f>
        <v>0</v>
      </c>
      <c r="G10" s="62">
        <f>G9+G11-G29</f>
        <v>0</v>
      </c>
      <c r="H10" s="16"/>
    </row>
    <row r="11" spans="1:8" ht="22.5" customHeight="1">
      <c r="A11" s="43" t="s">
        <v>51</v>
      </c>
      <c r="B11" s="33" t="s">
        <v>59</v>
      </c>
      <c r="C11" s="28"/>
      <c r="D11" s="62">
        <f>D12+D14+D17+D19+D22+D24+D28</f>
        <v>19203494.190000001</v>
      </c>
      <c r="E11" s="62">
        <f>E12+E14+E17+E19+E22+E24+E28</f>
        <v>11633409.309999999</v>
      </c>
      <c r="F11" s="62">
        <f>F12+F14+F17+F19+F22+F24+F28</f>
        <v>11667357.76</v>
      </c>
      <c r="G11" s="62">
        <v>0</v>
      </c>
      <c r="H11" s="7"/>
    </row>
    <row r="12" spans="1:8" ht="36" customHeight="1">
      <c r="A12" s="9" t="s">
        <v>52</v>
      </c>
      <c r="B12" s="33" t="s">
        <v>60</v>
      </c>
      <c r="C12" s="44">
        <v>120</v>
      </c>
      <c r="D12" s="61"/>
      <c r="E12" s="61"/>
      <c r="F12" s="61"/>
      <c r="G12" s="61"/>
      <c r="H12" s="6"/>
    </row>
    <row r="13" spans="1:8" ht="21" customHeight="1">
      <c r="A13" s="9" t="s">
        <v>64</v>
      </c>
      <c r="B13" s="33" t="s">
        <v>61</v>
      </c>
      <c r="C13" s="44"/>
      <c r="D13" s="61"/>
      <c r="E13" s="61"/>
      <c r="F13" s="61"/>
      <c r="G13" s="61"/>
      <c r="H13" s="6"/>
    </row>
    <row r="14" spans="1:8" ht="41.25" customHeight="1">
      <c r="A14" s="9" t="s">
        <v>339</v>
      </c>
      <c r="B14" s="33" t="s">
        <v>62</v>
      </c>
      <c r="C14" s="42">
        <v>130</v>
      </c>
      <c r="D14" s="62">
        <f>D15+D16</f>
        <v>18202448.27</v>
      </c>
      <c r="E14" s="62">
        <f t="shared" ref="E14:G14" si="0">E15+E16</f>
        <v>11188469.029999999</v>
      </c>
      <c r="F14" s="62">
        <f t="shared" si="0"/>
        <v>11238469.029999999</v>
      </c>
      <c r="G14" s="62">
        <f t="shared" si="0"/>
        <v>0</v>
      </c>
      <c r="H14" s="7"/>
    </row>
    <row r="15" spans="1:8" ht="69.75" customHeight="1">
      <c r="A15" s="9" t="s">
        <v>53</v>
      </c>
      <c r="B15" s="33" t="s">
        <v>63</v>
      </c>
      <c r="C15" s="42">
        <v>130</v>
      </c>
      <c r="D15" s="61">
        <v>17632742.609999999</v>
      </c>
      <c r="E15" s="61">
        <v>10706469.029999999</v>
      </c>
      <c r="F15" s="61">
        <v>10756469.029999999</v>
      </c>
      <c r="G15" s="61"/>
      <c r="H15" s="7"/>
    </row>
    <row r="16" spans="1:8" s="46" customFormat="1" ht="57" customHeight="1">
      <c r="A16" s="47" t="s">
        <v>340</v>
      </c>
      <c r="B16" s="48" t="s">
        <v>341</v>
      </c>
      <c r="C16" s="51">
        <v>130</v>
      </c>
      <c r="D16" s="64">
        <v>569705.66</v>
      </c>
      <c r="E16" s="64">
        <v>482000</v>
      </c>
      <c r="F16" s="64">
        <v>482000</v>
      </c>
      <c r="G16" s="64"/>
      <c r="H16" s="52"/>
    </row>
    <row r="17" spans="1:8" ht="36" customHeight="1">
      <c r="A17" s="9" t="s">
        <v>54</v>
      </c>
      <c r="B17" s="33" t="s">
        <v>65</v>
      </c>
      <c r="C17" s="42">
        <v>140</v>
      </c>
      <c r="D17" s="61"/>
      <c r="E17" s="61"/>
      <c r="F17" s="61"/>
      <c r="G17" s="61"/>
      <c r="H17" s="6"/>
    </row>
    <row r="18" spans="1:8" ht="20.25" customHeight="1">
      <c r="A18" s="9" t="s">
        <v>55</v>
      </c>
      <c r="B18" s="33" t="s">
        <v>66</v>
      </c>
      <c r="C18" s="44">
        <v>140</v>
      </c>
      <c r="D18" s="61"/>
      <c r="E18" s="61"/>
      <c r="F18" s="61"/>
      <c r="G18" s="61"/>
      <c r="H18" s="6"/>
    </row>
    <row r="19" spans="1:8" ht="20.25" customHeight="1">
      <c r="A19" s="9" t="s">
        <v>56</v>
      </c>
      <c r="B19" s="33" t="s">
        <v>67</v>
      </c>
      <c r="C19" s="42">
        <v>150</v>
      </c>
      <c r="D19" s="62">
        <f>SUM(D20:D21)</f>
        <v>938919.67</v>
      </c>
      <c r="E19" s="62">
        <f t="shared" ref="E19:G19" si="1">SUM(E20:E21)</f>
        <v>444940.28</v>
      </c>
      <c r="F19" s="62">
        <f t="shared" si="1"/>
        <v>428888.73</v>
      </c>
      <c r="G19" s="62">
        <f t="shared" si="1"/>
        <v>0</v>
      </c>
      <c r="H19" s="6"/>
    </row>
    <row r="20" spans="1:8" ht="36" customHeight="1">
      <c r="A20" s="47" t="s">
        <v>68</v>
      </c>
      <c r="B20" s="33" t="s">
        <v>69</v>
      </c>
      <c r="C20" s="42">
        <v>150</v>
      </c>
      <c r="D20" s="61">
        <v>938919.67</v>
      </c>
      <c r="E20" s="64">
        <v>444940.28</v>
      </c>
      <c r="F20" s="64">
        <v>428888.73</v>
      </c>
      <c r="G20" s="61"/>
      <c r="H20" s="6"/>
    </row>
    <row r="21" spans="1:8" ht="36" customHeight="1">
      <c r="A21" s="9" t="s">
        <v>8</v>
      </c>
      <c r="B21" s="33" t="s">
        <v>70</v>
      </c>
      <c r="C21" s="42">
        <v>150</v>
      </c>
      <c r="D21" s="61"/>
      <c r="E21" s="61"/>
      <c r="F21" s="61"/>
      <c r="G21" s="61"/>
      <c r="H21" s="6"/>
    </row>
    <row r="22" spans="1:8" ht="18" customHeight="1">
      <c r="A22" s="9" t="s">
        <v>71</v>
      </c>
      <c r="B22" s="33" t="s">
        <v>72</v>
      </c>
      <c r="C22" s="42">
        <v>180</v>
      </c>
      <c r="D22" s="61"/>
      <c r="E22" s="61"/>
      <c r="F22" s="61"/>
      <c r="G22" s="61"/>
      <c r="H22" s="7"/>
    </row>
    <row r="23" spans="1:8" ht="18.75" customHeight="1">
      <c r="A23" s="9" t="s">
        <v>64</v>
      </c>
      <c r="B23" s="33" t="s">
        <v>73</v>
      </c>
      <c r="C23" s="44">
        <v>180</v>
      </c>
      <c r="D23" s="61"/>
      <c r="E23" s="61"/>
      <c r="F23" s="61"/>
      <c r="G23" s="61"/>
      <c r="H23" s="6"/>
    </row>
    <row r="24" spans="1:8" ht="19.5" customHeight="1">
      <c r="A24" s="9" t="s">
        <v>74</v>
      </c>
      <c r="B24" s="33" t="s">
        <v>75</v>
      </c>
      <c r="C24" s="42">
        <v>400</v>
      </c>
      <c r="D24" s="61"/>
      <c r="E24" s="61"/>
      <c r="F24" s="61"/>
      <c r="G24" s="61"/>
      <c r="H24" s="6"/>
    </row>
    <row r="25" spans="1:8" ht="18.75" customHeight="1">
      <c r="A25" s="9" t="s">
        <v>64</v>
      </c>
      <c r="B25" s="33" t="s">
        <v>76</v>
      </c>
      <c r="C25" s="44">
        <v>400</v>
      </c>
      <c r="D25" s="61"/>
      <c r="E25" s="61"/>
      <c r="F25" s="61"/>
      <c r="G25" s="61"/>
      <c r="H25" s="6"/>
    </row>
    <row r="26" spans="1:8" ht="18.75" customHeight="1">
      <c r="A26" s="9"/>
      <c r="B26" s="33" t="s">
        <v>77</v>
      </c>
      <c r="C26" s="44">
        <v>400</v>
      </c>
      <c r="D26" s="61"/>
      <c r="E26" s="61"/>
      <c r="F26" s="61"/>
      <c r="G26" s="61"/>
      <c r="H26" s="6"/>
    </row>
    <row r="27" spans="1:8" ht="18.75" customHeight="1">
      <c r="A27" s="9" t="s">
        <v>78</v>
      </c>
      <c r="B27" s="33" t="s">
        <v>79</v>
      </c>
      <c r="C27" s="44" t="s">
        <v>12</v>
      </c>
      <c r="D27" s="61"/>
      <c r="E27" s="61"/>
      <c r="F27" s="61"/>
      <c r="G27" s="61" t="str">
        <f t="shared" ref="G27" si="2">G28</f>
        <v>х</v>
      </c>
      <c r="H27" s="6"/>
    </row>
    <row r="28" spans="1:8" ht="66.75" customHeight="1">
      <c r="A28" s="9" t="s">
        <v>80</v>
      </c>
      <c r="B28" s="33" t="s">
        <v>81</v>
      </c>
      <c r="C28" s="44">
        <v>510</v>
      </c>
      <c r="D28" s="61">
        <v>62126.25</v>
      </c>
      <c r="E28" s="61"/>
      <c r="F28" s="61"/>
      <c r="G28" s="61" t="s">
        <v>12</v>
      </c>
      <c r="H28" s="6"/>
    </row>
    <row r="29" spans="1:8" s="10" customFormat="1" ht="20.25" customHeight="1">
      <c r="A29" s="43" t="s">
        <v>82</v>
      </c>
      <c r="B29" s="33" t="s">
        <v>83</v>
      </c>
      <c r="C29" s="28" t="s">
        <v>12</v>
      </c>
      <c r="D29" s="62">
        <f>D31+D32+D33+D34+D38+D44+D55</f>
        <v>19200107.66</v>
      </c>
      <c r="E29" s="62">
        <f>E31+E32+E33+E34+E38+E44+E55</f>
        <v>11633409.310000001</v>
      </c>
      <c r="F29" s="62">
        <f>F31+F32+F33+F34+F38+F44+F55</f>
        <v>11667357.760000002</v>
      </c>
      <c r="G29" s="62"/>
      <c r="H29" s="13"/>
    </row>
    <row r="30" spans="1:8" ht="33" customHeight="1">
      <c r="A30" s="9" t="s">
        <v>84</v>
      </c>
      <c r="B30" s="33" t="s">
        <v>85</v>
      </c>
      <c r="C30" s="42" t="s">
        <v>12</v>
      </c>
      <c r="D30" s="61">
        <f>D31+D32+D33+D34</f>
        <v>14132929.41</v>
      </c>
      <c r="E30" s="96">
        <f t="shared" ref="E30:F30" si="3">E31+E32+E33+E34</f>
        <v>9806469.0300000012</v>
      </c>
      <c r="F30" s="96">
        <f t="shared" si="3"/>
        <v>9806469.0300000012</v>
      </c>
      <c r="G30" s="61" t="s">
        <v>12</v>
      </c>
      <c r="H30" s="7"/>
    </row>
    <row r="31" spans="1:8" ht="33" customHeight="1">
      <c r="A31" s="9" t="s">
        <v>86</v>
      </c>
      <c r="B31" s="33" t="s">
        <v>87</v>
      </c>
      <c r="C31" s="42">
        <v>111</v>
      </c>
      <c r="D31" s="64">
        <v>10871813.289999999</v>
      </c>
      <c r="E31" s="64">
        <v>7469711.5300000003</v>
      </c>
      <c r="F31" s="64">
        <v>7469711.5300000003</v>
      </c>
      <c r="G31" s="61" t="s">
        <v>12</v>
      </c>
      <c r="H31" s="7"/>
    </row>
    <row r="32" spans="1:8" ht="38.25" customHeight="1">
      <c r="A32" s="37" t="s">
        <v>88</v>
      </c>
      <c r="B32" s="33" t="s">
        <v>89</v>
      </c>
      <c r="C32" s="42">
        <v>112</v>
      </c>
      <c r="D32" s="61">
        <v>0</v>
      </c>
      <c r="E32" s="61">
        <v>0</v>
      </c>
      <c r="F32" s="61">
        <v>0</v>
      </c>
      <c r="G32" s="61" t="s">
        <v>12</v>
      </c>
      <c r="H32" s="7"/>
    </row>
    <row r="33" spans="1:9" ht="47.25">
      <c r="A33" s="37" t="s">
        <v>90</v>
      </c>
      <c r="B33" s="36">
        <v>2130</v>
      </c>
      <c r="C33" s="38">
        <v>113</v>
      </c>
      <c r="D33" s="65"/>
      <c r="E33" s="65"/>
      <c r="F33" s="65"/>
      <c r="G33" s="61" t="s">
        <v>12</v>
      </c>
    </row>
    <row r="34" spans="1:9" ht="68.25" customHeight="1">
      <c r="A34" s="37" t="s">
        <v>91</v>
      </c>
      <c r="B34" s="33" t="s">
        <v>92</v>
      </c>
      <c r="C34" s="42" t="s">
        <v>13</v>
      </c>
      <c r="D34" s="62">
        <f>SUM(D35:D36)</f>
        <v>3261116.12</v>
      </c>
      <c r="E34" s="62">
        <f t="shared" ref="E34:F34" si="4">SUM(E35:E36)</f>
        <v>2336757.5</v>
      </c>
      <c r="F34" s="62">
        <f t="shared" si="4"/>
        <v>2336757.5</v>
      </c>
      <c r="G34" s="61" t="s">
        <v>12</v>
      </c>
      <c r="H34" s="7"/>
    </row>
    <row r="35" spans="1:9" s="46" customFormat="1" ht="33" customHeight="1">
      <c r="A35" s="47" t="s">
        <v>93</v>
      </c>
      <c r="B35" s="48" t="s">
        <v>94</v>
      </c>
      <c r="C35" s="51">
        <v>119</v>
      </c>
      <c r="D35" s="64">
        <v>3261116.12</v>
      </c>
      <c r="E35" s="64">
        <v>2336757.5</v>
      </c>
      <c r="F35" s="64">
        <v>2336757.5</v>
      </c>
      <c r="G35" s="64" t="s">
        <v>12</v>
      </c>
      <c r="H35" s="52"/>
    </row>
    <row r="36" spans="1:9" s="46" customFormat="1" ht="16.5" customHeight="1">
      <c r="A36" s="47" t="s">
        <v>95</v>
      </c>
      <c r="B36" s="48" t="s">
        <v>96</v>
      </c>
      <c r="C36" s="51">
        <v>119</v>
      </c>
      <c r="D36" s="64"/>
      <c r="E36" s="64"/>
      <c r="F36" s="64"/>
      <c r="G36" s="64"/>
      <c r="H36" s="52"/>
    </row>
    <row r="37" spans="1:9" s="46" customFormat="1" ht="54" customHeight="1">
      <c r="A37" s="47" t="s">
        <v>383</v>
      </c>
      <c r="B37" s="48" t="s">
        <v>377</v>
      </c>
      <c r="C37" s="51">
        <v>139</v>
      </c>
      <c r="D37" s="86"/>
      <c r="E37" s="86"/>
      <c r="F37" s="86"/>
      <c r="G37" s="51" t="s">
        <v>12</v>
      </c>
      <c r="H37" s="52"/>
    </row>
    <row r="38" spans="1:9" ht="18.75" customHeight="1">
      <c r="A38" s="9" t="s">
        <v>10</v>
      </c>
      <c r="B38" s="33" t="s">
        <v>97</v>
      </c>
      <c r="C38" s="42">
        <v>300</v>
      </c>
      <c r="D38" s="61"/>
      <c r="E38" s="61"/>
      <c r="F38" s="61"/>
      <c r="G38" s="61" t="s">
        <v>12</v>
      </c>
      <c r="H38" s="7"/>
    </row>
    <row r="39" spans="1:9" s="46" customFormat="1" ht="50.25" customHeight="1">
      <c r="A39" s="47" t="s">
        <v>98</v>
      </c>
      <c r="B39" s="48" t="s">
        <v>99</v>
      </c>
      <c r="C39" s="49" t="s">
        <v>100</v>
      </c>
      <c r="D39" s="64"/>
      <c r="E39" s="64"/>
      <c r="F39" s="64"/>
      <c r="G39" s="64" t="s">
        <v>12</v>
      </c>
      <c r="H39" s="52"/>
    </row>
    <row r="40" spans="1:9" s="46" customFormat="1" ht="68.25" customHeight="1">
      <c r="A40" s="47" t="s">
        <v>101</v>
      </c>
      <c r="B40" s="48" t="s">
        <v>102</v>
      </c>
      <c r="C40" s="49" t="s">
        <v>103</v>
      </c>
      <c r="D40" s="64"/>
      <c r="E40" s="64"/>
      <c r="F40" s="64"/>
      <c r="G40" s="64" t="s">
        <v>12</v>
      </c>
      <c r="H40" s="52"/>
    </row>
    <row r="41" spans="1:9" s="46" customFormat="1" ht="20.25" customHeight="1">
      <c r="A41" s="47" t="s">
        <v>269</v>
      </c>
      <c r="B41" s="48" t="s">
        <v>104</v>
      </c>
      <c r="C41" s="49" t="s">
        <v>105</v>
      </c>
      <c r="D41" s="64"/>
      <c r="E41" s="64"/>
      <c r="F41" s="64"/>
      <c r="G41" s="64" t="s">
        <v>12</v>
      </c>
      <c r="H41" s="52"/>
    </row>
    <row r="42" spans="1:9" s="46" customFormat="1" ht="84.75" customHeight="1">
      <c r="A42" s="47" t="s">
        <v>106</v>
      </c>
      <c r="B42" s="48" t="s">
        <v>107</v>
      </c>
      <c r="C42" s="51">
        <v>350</v>
      </c>
      <c r="D42" s="64"/>
      <c r="E42" s="64"/>
      <c r="F42" s="64"/>
      <c r="G42" s="64" t="s">
        <v>12</v>
      </c>
      <c r="H42" s="53"/>
      <c r="I42" s="54"/>
    </row>
    <row r="43" spans="1:9" s="46" customFormat="1" ht="21" customHeight="1">
      <c r="A43" s="47" t="s">
        <v>108</v>
      </c>
      <c r="B43" s="48" t="s">
        <v>109</v>
      </c>
      <c r="C43" s="51">
        <v>360</v>
      </c>
      <c r="D43" s="64"/>
      <c r="E43" s="64"/>
      <c r="F43" s="64"/>
      <c r="G43" s="64" t="s">
        <v>12</v>
      </c>
      <c r="H43" s="53"/>
      <c r="I43" s="54"/>
    </row>
    <row r="44" spans="1:9" ht="21" customHeight="1">
      <c r="A44" s="37" t="s">
        <v>110</v>
      </c>
      <c r="B44" s="33" t="s">
        <v>111</v>
      </c>
      <c r="C44" s="42">
        <v>850</v>
      </c>
      <c r="D44" s="62">
        <f>SUM(D45:D47)</f>
        <v>99466</v>
      </c>
      <c r="E44" s="62">
        <f t="shared" ref="E44:F44" si="5">SUM(E45:E47)</f>
        <v>0</v>
      </c>
      <c r="F44" s="62">
        <f t="shared" si="5"/>
        <v>0</v>
      </c>
      <c r="G44" s="61" t="s">
        <v>12</v>
      </c>
      <c r="H44" s="7"/>
    </row>
    <row r="45" spans="1:9" ht="47.25" customHeight="1">
      <c r="A45" s="9" t="s">
        <v>270</v>
      </c>
      <c r="B45" s="33" t="s">
        <v>112</v>
      </c>
      <c r="C45" s="42">
        <v>851</v>
      </c>
      <c r="D45" s="61">
        <v>99466</v>
      </c>
      <c r="E45" s="61"/>
      <c r="F45" s="61"/>
      <c r="G45" s="61" t="s">
        <v>12</v>
      </c>
      <c r="H45" s="7"/>
    </row>
    <row r="46" spans="1:9" ht="51.75" customHeight="1">
      <c r="A46" s="9" t="s">
        <v>113</v>
      </c>
      <c r="B46" s="33" t="s">
        <v>114</v>
      </c>
      <c r="C46" s="42">
        <v>852</v>
      </c>
      <c r="D46" s="61">
        <v>0</v>
      </c>
      <c r="E46" s="61"/>
      <c r="F46" s="61"/>
      <c r="G46" s="61" t="s">
        <v>12</v>
      </c>
      <c r="H46" s="7"/>
    </row>
    <row r="47" spans="1:9" ht="34.5" customHeight="1">
      <c r="A47" s="9" t="s">
        <v>115</v>
      </c>
      <c r="B47" s="33" t="s">
        <v>116</v>
      </c>
      <c r="C47" s="42">
        <v>853</v>
      </c>
      <c r="D47" s="61">
        <v>0</v>
      </c>
      <c r="E47" s="61"/>
      <c r="F47" s="61"/>
      <c r="G47" s="61" t="s">
        <v>12</v>
      </c>
      <c r="H47" s="7"/>
    </row>
    <row r="48" spans="1:9" s="46" customFormat="1" ht="31.5">
      <c r="A48" s="47" t="s">
        <v>117</v>
      </c>
      <c r="B48" s="48" t="s">
        <v>118</v>
      </c>
      <c r="C48" s="51" t="s">
        <v>12</v>
      </c>
      <c r="D48" s="64"/>
      <c r="E48" s="64"/>
      <c r="F48" s="64"/>
      <c r="G48" s="64" t="s">
        <v>12</v>
      </c>
      <c r="H48" s="52"/>
    </row>
    <row r="49" spans="1:8" s="46" customFormat="1" ht="47.25" customHeight="1">
      <c r="A49" s="47" t="s">
        <v>355</v>
      </c>
      <c r="B49" s="48" t="s">
        <v>119</v>
      </c>
      <c r="C49" s="51">
        <v>613</v>
      </c>
      <c r="D49" s="64"/>
      <c r="E49" s="64"/>
      <c r="F49" s="64"/>
      <c r="G49" s="64" t="s">
        <v>12</v>
      </c>
      <c r="H49" s="52"/>
    </row>
    <row r="50" spans="1:8" s="46" customFormat="1" ht="47.25" customHeight="1">
      <c r="A50" s="47" t="s">
        <v>384</v>
      </c>
      <c r="B50" s="48" t="s">
        <v>356</v>
      </c>
      <c r="C50" s="51">
        <v>623</v>
      </c>
      <c r="D50" s="64"/>
      <c r="E50" s="64"/>
      <c r="F50" s="64"/>
      <c r="G50" s="64"/>
      <c r="H50" s="52"/>
    </row>
    <row r="51" spans="1:8" s="46" customFormat="1" ht="47.25" customHeight="1">
      <c r="A51" s="55" t="s">
        <v>385</v>
      </c>
      <c r="B51" s="48" t="s">
        <v>386</v>
      </c>
      <c r="C51" s="51">
        <v>634</v>
      </c>
      <c r="D51" s="50"/>
      <c r="E51" s="50"/>
      <c r="F51" s="50"/>
      <c r="G51" s="51"/>
      <c r="H51" s="52"/>
    </row>
    <row r="52" spans="1:8" s="46" customFormat="1" ht="47.25" customHeight="1">
      <c r="A52" s="55" t="s">
        <v>387</v>
      </c>
      <c r="B52" s="48" t="s">
        <v>388</v>
      </c>
      <c r="C52" s="51">
        <v>810</v>
      </c>
      <c r="D52" s="50"/>
      <c r="E52" s="50"/>
      <c r="F52" s="50"/>
      <c r="G52" s="51" t="s">
        <v>12</v>
      </c>
      <c r="H52" s="52"/>
    </row>
    <row r="53" spans="1:8" ht="35.25" customHeight="1">
      <c r="A53" s="9" t="s">
        <v>120</v>
      </c>
      <c r="B53" s="33" t="s">
        <v>121</v>
      </c>
      <c r="C53" s="42" t="s">
        <v>12</v>
      </c>
      <c r="D53" s="61"/>
      <c r="E53" s="61"/>
      <c r="F53" s="61"/>
      <c r="G53" s="61" t="s">
        <v>12</v>
      </c>
      <c r="H53" s="7"/>
    </row>
    <row r="54" spans="1:8" ht="68.25" customHeight="1">
      <c r="A54" s="9" t="s">
        <v>122</v>
      </c>
      <c r="B54" s="33" t="s">
        <v>123</v>
      </c>
      <c r="C54" s="42">
        <v>831</v>
      </c>
      <c r="D54" s="61"/>
      <c r="E54" s="61"/>
      <c r="F54" s="61"/>
      <c r="G54" s="61" t="s">
        <v>12</v>
      </c>
      <c r="H54" s="7"/>
    </row>
    <row r="55" spans="1:8" ht="33" customHeight="1">
      <c r="A55" s="37" t="s">
        <v>124</v>
      </c>
      <c r="B55" s="33" t="s">
        <v>125</v>
      </c>
      <c r="C55" s="42" t="s">
        <v>12</v>
      </c>
      <c r="D55" s="62">
        <f>SUM(D56:D59)</f>
        <v>4967712.25</v>
      </c>
      <c r="E55" s="62">
        <f>SUM(E56:E59)</f>
        <v>1826940.28</v>
      </c>
      <c r="F55" s="62">
        <f>SUM(F56:F59)</f>
        <v>1860888.73</v>
      </c>
      <c r="G55" s="62">
        <f>SUM(G56:G59)</f>
        <v>0</v>
      </c>
      <c r="H55" s="7"/>
    </row>
    <row r="56" spans="1:8" s="46" customFormat="1" ht="47.25">
      <c r="A56" s="55" t="s">
        <v>126</v>
      </c>
      <c r="B56" s="56">
        <v>2610</v>
      </c>
      <c r="C56" s="57">
        <v>241</v>
      </c>
      <c r="D56" s="66"/>
      <c r="E56" s="66"/>
      <c r="F56" s="66"/>
      <c r="G56" s="66"/>
    </row>
    <row r="57" spans="1:8" ht="38.25" customHeight="1">
      <c r="A57" s="37" t="s">
        <v>127</v>
      </c>
      <c r="B57" s="36">
        <v>2630</v>
      </c>
      <c r="C57" s="38">
        <v>243</v>
      </c>
      <c r="D57" s="65"/>
      <c r="E57" s="65"/>
      <c r="F57" s="65"/>
      <c r="G57" s="65"/>
    </row>
    <row r="58" spans="1:8" ht="22.5" customHeight="1">
      <c r="A58" s="37" t="s">
        <v>128</v>
      </c>
      <c r="B58" s="36">
        <v>2640</v>
      </c>
      <c r="C58" s="38">
        <v>244</v>
      </c>
      <c r="D58" s="65">
        <f>2358997.36-20673.91</f>
        <v>2338323.4499999997</v>
      </c>
      <c r="E58" s="66">
        <v>926940.28</v>
      </c>
      <c r="F58" s="66">
        <v>910888.73</v>
      </c>
      <c r="G58" s="65">
        <v>0</v>
      </c>
    </row>
    <row r="59" spans="1:8" ht="18.75" customHeight="1">
      <c r="A59" s="9" t="s">
        <v>378</v>
      </c>
      <c r="B59" s="33" t="s">
        <v>379</v>
      </c>
      <c r="C59" s="44">
        <v>247</v>
      </c>
      <c r="D59" s="196">
        <v>2629388.7999999998</v>
      </c>
      <c r="E59" s="86">
        <v>900000</v>
      </c>
      <c r="F59" s="86">
        <v>950000</v>
      </c>
      <c r="G59" s="97"/>
      <c r="H59" s="6"/>
    </row>
    <row r="60" spans="1:8" ht="38.25" customHeight="1">
      <c r="A60" s="37" t="s">
        <v>129</v>
      </c>
      <c r="B60" s="36">
        <v>2660</v>
      </c>
      <c r="C60" s="38">
        <v>400</v>
      </c>
      <c r="D60" s="65"/>
      <c r="E60" s="65"/>
      <c r="F60" s="65"/>
      <c r="G60" s="65"/>
    </row>
    <row r="61" spans="1:8" ht="49.5" customHeight="1">
      <c r="A61" s="37" t="s">
        <v>130</v>
      </c>
      <c r="B61" s="36">
        <v>2661</v>
      </c>
      <c r="C61" s="38">
        <v>406</v>
      </c>
      <c r="D61" s="65"/>
      <c r="E61" s="65"/>
      <c r="F61" s="65"/>
      <c r="G61" s="65"/>
    </row>
    <row r="62" spans="1:8" ht="49.5" customHeight="1">
      <c r="A62" s="37" t="s">
        <v>131</v>
      </c>
      <c r="B62" s="36">
        <v>2662</v>
      </c>
      <c r="C62" s="38">
        <v>407</v>
      </c>
      <c r="D62" s="65"/>
      <c r="E62" s="65"/>
      <c r="F62" s="65"/>
      <c r="G62" s="65"/>
    </row>
    <row r="63" spans="1:8" ht="19.5" customHeight="1">
      <c r="A63" s="39" t="s">
        <v>132</v>
      </c>
      <c r="B63" s="36">
        <v>3000</v>
      </c>
      <c r="C63" s="40">
        <v>100</v>
      </c>
      <c r="D63" s="67"/>
      <c r="E63" s="67"/>
      <c r="F63" s="67"/>
      <c r="G63" s="67" t="s">
        <v>12</v>
      </c>
    </row>
    <row r="64" spans="1:8" ht="31.5">
      <c r="A64" s="37" t="s">
        <v>133</v>
      </c>
      <c r="B64" s="36">
        <v>3010</v>
      </c>
      <c r="C64" s="38"/>
      <c r="D64" s="65"/>
      <c r="E64" s="65"/>
      <c r="F64" s="65"/>
      <c r="G64" s="65" t="s">
        <v>12</v>
      </c>
    </row>
    <row r="65" spans="1:8" ht="20.25" customHeight="1">
      <c r="A65" s="37" t="s">
        <v>134</v>
      </c>
      <c r="B65" s="36">
        <v>3020</v>
      </c>
      <c r="C65" s="38"/>
      <c r="D65" s="65"/>
      <c r="E65" s="65"/>
      <c r="F65" s="65"/>
      <c r="G65" s="65" t="s">
        <v>12</v>
      </c>
    </row>
    <row r="66" spans="1:8" ht="17.25" customHeight="1">
      <c r="A66" s="37" t="s">
        <v>135</v>
      </c>
      <c r="B66" s="36">
        <v>3030</v>
      </c>
      <c r="C66" s="38"/>
      <c r="D66" s="65"/>
      <c r="E66" s="65"/>
      <c r="F66" s="65"/>
      <c r="G66" s="65" t="s">
        <v>12</v>
      </c>
    </row>
    <row r="67" spans="1:8" ht="19.5" customHeight="1">
      <c r="A67" s="39" t="s">
        <v>136</v>
      </c>
      <c r="B67" s="36">
        <v>4000</v>
      </c>
      <c r="C67" s="40" t="s">
        <v>12</v>
      </c>
      <c r="D67" s="67"/>
      <c r="E67" s="67"/>
      <c r="F67" s="67"/>
      <c r="G67" s="67" t="s">
        <v>12</v>
      </c>
    </row>
    <row r="68" spans="1:8" ht="35.25" customHeight="1">
      <c r="A68" s="9" t="s">
        <v>137</v>
      </c>
      <c r="B68" s="33" t="s">
        <v>138</v>
      </c>
      <c r="C68" s="42">
        <v>610</v>
      </c>
      <c r="D68" s="61"/>
      <c r="E68" s="61"/>
      <c r="F68" s="61"/>
      <c r="G68" s="61" t="s">
        <v>12</v>
      </c>
      <c r="H68" s="7"/>
    </row>
    <row r="69" spans="1:8" ht="15.75">
      <c r="A69" s="58"/>
      <c r="B69" s="35"/>
      <c r="C69" s="35"/>
      <c r="D69" s="68"/>
      <c r="E69" s="68"/>
      <c r="F69" s="68"/>
      <c r="G69" s="68"/>
    </row>
    <row r="70" spans="1:8" ht="15.75">
      <c r="A70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5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2"/>
  <sheetViews>
    <sheetView view="pageBreakPreview" zoomScale="60" zoomScaleNormal="90" workbookViewId="0">
      <selection activeCell="F20" sqref="F20"/>
    </sheetView>
  </sheetViews>
  <sheetFormatPr defaultRowHeight="15"/>
  <cols>
    <col min="1" max="1" width="6.5703125" customWidth="1"/>
    <col min="2" max="2" width="48.28515625" customWidth="1"/>
    <col min="3" max="3" width="8.85546875" customWidth="1"/>
    <col min="4" max="4" width="8.28515625" customWidth="1"/>
    <col min="5" max="5" width="15.7109375" customWidth="1"/>
    <col min="6" max="6" width="15.5703125" style="60" customWidth="1"/>
    <col min="7" max="7" width="15.140625" style="60" customWidth="1"/>
    <col min="8" max="8" width="17.28515625" style="60" customWidth="1"/>
    <col min="9" max="9" width="14" customWidth="1"/>
    <col min="10" max="10" width="12" hidden="1" customWidth="1"/>
  </cols>
  <sheetData>
    <row r="1" spans="1:11">
      <c r="F1" s="60" t="b">
        <f>F8=F16+F19+F25</f>
        <v>1</v>
      </c>
      <c r="G1" s="60" t="b">
        <f t="shared" ref="G1:H1" si="0">G8=G16+G19+G25</f>
        <v>1</v>
      </c>
      <c r="H1" s="60" t="b">
        <f t="shared" si="0"/>
        <v>1</v>
      </c>
    </row>
    <row r="3" spans="1:11" ht="15.75">
      <c r="B3" s="197" t="s">
        <v>139</v>
      </c>
      <c r="C3" s="197"/>
      <c r="D3" s="197"/>
      <c r="E3" s="197"/>
      <c r="F3" s="197"/>
      <c r="G3" s="197"/>
      <c r="H3" s="197"/>
      <c r="I3" s="197"/>
    </row>
    <row r="4" spans="1:11" ht="8.25" customHeight="1">
      <c r="B4" s="25"/>
    </row>
    <row r="5" spans="1:11" ht="20.25" customHeight="1">
      <c r="A5" s="216" t="s">
        <v>140</v>
      </c>
      <c r="B5" s="216" t="s">
        <v>3</v>
      </c>
      <c r="C5" s="206" t="s">
        <v>5</v>
      </c>
      <c r="D5" s="206" t="s">
        <v>11</v>
      </c>
      <c r="E5" s="216" t="s">
        <v>357</v>
      </c>
      <c r="F5" s="218" t="s">
        <v>47</v>
      </c>
      <c r="G5" s="219"/>
      <c r="H5" s="219"/>
      <c r="I5" s="219"/>
      <c r="J5" s="16"/>
    </row>
    <row r="6" spans="1:11" ht="87.75" customHeight="1">
      <c r="A6" s="217"/>
      <c r="B6" s="217"/>
      <c r="C6" s="206"/>
      <c r="D6" s="206"/>
      <c r="E6" s="217"/>
      <c r="F6" s="105" t="s">
        <v>405</v>
      </c>
      <c r="G6" s="105" t="s">
        <v>406</v>
      </c>
      <c r="H6" s="105" t="s">
        <v>407</v>
      </c>
      <c r="I6" s="26" t="s">
        <v>48</v>
      </c>
      <c r="J6" s="16"/>
    </row>
    <row r="7" spans="1:11" ht="15.75">
      <c r="A7" s="31">
        <v>1</v>
      </c>
      <c r="B7" s="31">
        <v>2</v>
      </c>
      <c r="C7" s="31">
        <v>3</v>
      </c>
      <c r="D7" s="31">
        <v>4</v>
      </c>
      <c r="E7" s="31" t="s">
        <v>358</v>
      </c>
      <c r="F7" s="95">
        <v>5</v>
      </c>
      <c r="G7" s="95">
        <v>6</v>
      </c>
      <c r="H7" s="95">
        <v>7</v>
      </c>
      <c r="I7" s="31">
        <v>8</v>
      </c>
      <c r="J7" s="16"/>
    </row>
    <row r="8" spans="1:11" ht="22.5" customHeight="1">
      <c r="A8" s="36">
        <v>1</v>
      </c>
      <c r="B8" s="32" t="s">
        <v>141</v>
      </c>
      <c r="C8" s="33" t="s">
        <v>142</v>
      </c>
      <c r="D8" s="8" t="s">
        <v>12</v>
      </c>
      <c r="E8" s="91"/>
      <c r="F8" s="61">
        <f>'Раздел 1'!D55</f>
        <v>4967712.25</v>
      </c>
      <c r="G8" s="61">
        <f>'Раздел 1'!E55</f>
        <v>1826940.28</v>
      </c>
      <c r="H8" s="61">
        <f>'Раздел 1'!F55</f>
        <v>1860888.73</v>
      </c>
      <c r="I8" s="45">
        <f>'Раздел 1'!G58</f>
        <v>0</v>
      </c>
      <c r="J8" s="16"/>
    </row>
    <row r="9" spans="1:11" ht="188.25" customHeight="1">
      <c r="A9" s="36" t="s">
        <v>27</v>
      </c>
      <c r="B9" s="32" t="s">
        <v>143</v>
      </c>
      <c r="C9" s="33" t="s">
        <v>144</v>
      </c>
      <c r="D9" s="8" t="s">
        <v>12</v>
      </c>
      <c r="E9" s="91"/>
      <c r="F9" s="61"/>
      <c r="G9" s="61"/>
      <c r="H9" s="61"/>
      <c r="I9" s="31"/>
      <c r="J9" s="16"/>
    </row>
    <row r="10" spans="1:11" ht="67.5" customHeight="1">
      <c r="A10" s="36" t="s">
        <v>28</v>
      </c>
      <c r="B10" s="30" t="s">
        <v>145</v>
      </c>
      <c r="C10" s="33" t="s">
        <v>146</v>
      </c>
      <c r="D10" s="8" t="s">
        <v>12</v>
      </c>
      <c r="E10" s="91"/>
      <c r="F10" s="61"/>
      <c r="G10" s="61"/>
      <c r="H10" s="61"/>
      <c r="I10" s="14"/>
      <c r="J10" s="7"/>
    </row>
    <row r="11" spans="1:11" ht="51.75" customHeight="1">
      <c r="A11" s="36" t="s">
        <v>29</v>
      </c>
      <c r="B11" s="30" t="s">
        <v>147</v>
      </c>
      <c r="C11" s="34" t="s">
        <v>148</v>
      </c>
      <c r="D11" s="29" t="s">
        <v>12</v>
      </c>
      <c r="E11" s="93"/>
      <c r="F11" s="69"/>
      <c r="G11" s="69"/>
      <c r="H11" s="69"/>
      <c r="I11" s="27"/>
      <c r="J11" s="6"/>
    </row>
    <row r="12" spans="1:11" ht="34.5" customHeight="1">
      <c r="A12" s="36" t="s">
        <v>359</v>
      </c>
      <c r="B12" s="30" t="s">
        <v>360</v>
      </c>
      <c r="C12" s="34" t="s">
        <v>361</v>
      </c>
      <c r="D12" s="29" t="s">
        <v>12</v>
      </c>
      <c r="E12" s="93"/>
      <c r="F12" s="93"/>
      <c r="G12" s="27"/>
      <c r="H12" s="27"/>
      <c r="I12" s="27"/>
      <c r="J12" s="27"/>
      <c r="K12" s="6"/>
    </row>
    <row r="13" spans="1:11" ht="36" customHeight="1">
      <c r="A13" s="36"/>
      <c r="B13" s="30" t="s">
        <v>362</v>
      </c>
      <c r="C13" s="34" t="s">
        <v>363</v>
      </c>
      <c r="D13" s="29" t="s">
        <v>12</v>
      </c>
      <c r="E13" s="93"/>
      <c r="F13" s="93"/>
      <c r="G13" s="27"/>
      <c r="H13" s="27"/>
      <c r="I13" s="27"/>
      <c r="J13" s="27"/>
      <c r="K13" s="6"/>
    </row>
    <row r="14" spans="1:11" ht="27" customHeight="1">
      <c r="A14" s="36" t="s">
        <v>364</v>
      </c>
      <c r="B14" s="30" t="s">
        <v>365</v>
      </c>
      <c r="C14" s="34" t="s">
        <v>366</v>
      </c>
      <c r="D14" s="29" t="s">
        <v>12</v>
      </c>
      <c r="E14" s="93"/>
      <c r="F14" s="93"/>
      <c r="G14" s="27"/>
      <c r="H14" s="27"/>
      <c r="I14" s="27"/>
      <c r="J14" s="27"/>
      <c r="K14" s="6"/>
    </row>
    <row r="15" spans="1:11" ht="63" customHeight="1">
      <c r="A15" s="36" t="s">
        <v>149</v>
      </c>
      <c r="B15" s="30" t="s">
        <v>150</v>
      </c>
      <c r="C15" s="34" t="s">
        <v>151</v>
      </c>
      <c r="D15" s="29" t="s">
        <v>12</v>
      </c>
      <c r="E15" s="93"/>
      <c r="F15" s="69">
        <f>F8-F11</f>
        <v>4967712.25</v>
      </c>
      <c r="G15" s="69">
        <f t="shared" ref="G15:H15" si="1">G8-G11</f>
        <v>1826940.28</v>
      </c>
      <c r="H15" s="69">
        <f t="shared" si="1"/>
        <v>1860888.73</v>
      </c>
      <c r="I15" s="26"/>
      <c r="J15" s="6"/>
    </row>
    <row r="16" spans="1:11" ht="63.75" customHeight="1">
      <c r="A16" s="36" t="s">
        <v>152</v>
      </c>
      <c r="B16" s="30" t="s">
        <v>153</v>
      </c>
      <c r="C16" s="33" t="s">
        <v>154</v>
      </c>
      <c r="D16" s="8" t="s">
        <v>12</v>
      </c>
      <c r="E16" s="91"/>
      <c r="F16" s="69">
        <v>3462735.68</v>
      </c>
      <c r="G16" s="69">
        <v>900000</v>
      </c>
      <c r="H16" s="69">
        <v>950000</v>
      </c>
      <c r="I16" s="14"/>
      <c r="J16" s="7"/>
    </row>
    <row r="17" spans="1:11" ht="35.25" customHeight="1">
      <c r="A17" s="36" t="s">
        <v>155</v>
      </c>
      <c r="B17" s="30" t="s">
        <v>156</v>
      </c>
      <c r="C17" s="33" t="s">
        <v>157</v>
      </c>
      <c r="D17" s="8" t="s">
        <v>12</v>
      </c>
      <c r="E17" s="91"/>
      <c r="F17" s="61"/>
      <c r="G17" s="61"/>
      <c r="H17" s="61"/>
      <c r="I17" s="8"/>
      <c r="J17" s="7"/>
    </row>
    <row r="18" spans="1:11" ht="21" customHeight="1">
      <c r="A18" s="36" t="s">
        <v>158</v>
      </c>
      <c r="B18" s="30" t="s">
        <v>159</v>
      </c>
      <c r="C18" s="33" t="s">
        <v>160</v>
      </c>
      <c r="D18" s="8" t="s">
        <v>12</v>
      </c>
      <c r="E18" s="91"/>
      <c r="F18" s="61"/>
      <c r="G18" s="61"/>
      <c r="H18" s="61"/>
      <c r="I18" s="14"/>
      <c r="J18" s="6"/>
    </row>
    <row r="19" spans="1:11" ht="48.75" customHeight="1">
      <c r="A19" s="36" t="s">
        <v>161</v>
      </c>
      <c r="B19" s="30" t="s">
        <v>162</v>
      </c>
      <c r="C19" s="34" t="s">
        <v>163</v>
      </c>
      <c r="D19" s="29" t="s">
        <v>12</v>
      </c>
      <c r="E19" s="93"/>
      <c r="F19" s="98">
        <v>938919.67</v>
      </c>
      <c r="G19" s="98">
        <v>444940.28</v>
      </c>
      <c r="H19" s="98">
        <v>428888.73</v>
      </c>
      <c r="I19" s="26"/>
      <c r="J19" s="6"/>
    </row>
    <row r="20" spans="1:11" ht="33.75" customHeight="1">
      <c r="A20" s="36" t="s">
        <v>164</v>
      </c>
      <c r="B20" s="30" t="s">
        <v>156</v>
      </c>
      <c r="C20" s="33" t="s">
        <v>165</v>
      </c>
      <c r="D20" s="8" t="s">
        <v>12</v>
      </c>
      <c r="E20" s="91"/>
      <c r="F20" s="61"/>
      <c r="G20" s="61"/>
      <c r="H20" s="61"/>
      <c r="I20" s="14"/>
      <c r="J20" s="6"/>
    </row>
    <row r="21" spans="1:11" ht="33.75" customHeight="1">
      <c r="A21" s="36"/>
      <c r="B21" s="30" t="s">
        <v>362</v>
      </c>
      <c r="C21" s="33" t="s">
        <v>367</v>
      </c>
      <c r="D21" s="89" t="s">
        <v>12</v>
      </c>
      <c r="E21" s="91"/>
      <c r="F21" s="89"/>
      <c r="G21" s="14"/>
      <c r="H21" s="14"/>
      <c r="I21" s="14"/>
      <c r="J21" s="14"/>
      <c r="K21" s="6"/>
    </row>
    <row r="22" spans="1:11" ht="21" customHeight="1">
      <c r="A22" s="36" t="s">
        <v>166</v>
      </c>
      <c r="B22" s="30" t="s">
        <v>167</v>
      </c>
      <c r="C22" s="33" t="s">
        <v>168</v>
      </c>
      <c r="D22" s="8" t="s">
        <v>12</v>
      </c>
      <c r="E22" s="91"/>
      <c r="F22" s="61"/>
      <c r="G22" s="61"/>
      <c r="H22" s="61"/>
      <c r="I22" s="8"/>
      <c r="J22" s="6"/>
    </row>
    <row r="23" spans="1:11" ht="36" customHeight="1">
      <c r="A23" s="36" t="s">
        <v>169</v>
      </c>
      <c r="B23" s="30" t="s">
        <v>170</v>
      </c>
      <c r="C23" s="33" t="s">
        <v>171</v>
      </c>
      <c r="D23" s="8" t="s">
        <v>12</v>
      </c>
      <c r="E23" s="91"/>
      <c r="F23" s="61"/>
      <c r="G23" s="61"/>
      <c r="H23" s="61"/>
      <c r="I23" s="8"/>
      <c r="J23" s="6"/>
    </row>
    <row r="24" spans="1:11" ht="36" customHeight="1">
      <c r="A24" s="36"/>
      <c r="B24" s="30" t="s">
        <v>362</v>
      </c>
      <c r="C24" s="33" t="s">
        <v>368</v>
      </c>
      <c r="D24" s="89" t="s">
        <v>12</v>
      </c>
      <c r="E24" s="91"/>
      <c r="F24" s="89"/>
      <c r="G24" s="89"/>
      <c r="H24" s="89"/>
      <c r="I24" s="89"/>
      <c r="J24" s="89"/>
      <c r="K24" s="6"/>
    </row>
    <row r="25" spans="1:11" ht="33.75" customHeight="1">
      <c r="A25" s="36" t="s">
        <v>172</v>
      </c>
      <c r="B25" s="30" t="s">
        <v>173</v>
      </c>
      <c r="C25" s="33" t="s">
        <v>174</v>
      </c>
      <c r="D25" s="8" t="s">
        <v>12</v>
      </c>
      <c r="E25" s="91"/>
      <c r="F25" s="61">
        <f>586730.81-20673.91</f>
        <v>566056.9</v>
      </c>
      <c r="G25" s="61">
        <v>482000</v>
      </c>
      <c r="H25" s="61">
        <v>482000</v>
      </c>
      <c r="I25" s="14"/>
      <c r="J25" s="7"/>
    </row>
    <row r="26" spans="1:11" ht="32.25" customHeight="1">
      <c r="A26" s="36" t="s">
        <v>175</v>
      </c>
      <c r="B26" s="30" t="s">
        <v>156</v>
      </c>
      <c r="C26" s="34" t="s">
        <v>176</v>
      </c>
      <c r="D26" s="29" t="s">
        <v>12</v>
      </c>
      <c r="E26" s="93"/>
      <c r="F26" s="69"/>
      <c r="G26" s="69"/>
      <c r="H26" s="69"/>
      <c r="I26" s="26"/>
      <c r="J26" s="6"/>
    </row>
    <row r="27" spans="1:11" ht="32.25" customHeight="1">
      <c r="A27" s="36"/>
      <c r="B27" s="30" t="s">
        <v>362</v>
      </c>
      <c r="C27" s="34" t="s">
        <v>369</v>
      </c>
      <c r="D27" s="29" t="s">
        <v>12</v>
      </c>
      <c r="E27" s="93"/>
      <c r="F27" s="93"/>
      <c r="G27" s="90"/>
      <c r="H27" s="90"/>
      <c r="I27" s="90"/>
      <c r="J27" s="90"/>
      <c r="K27" s="6"/>
    </row>
    <row r="28" spans="1:11" ht="19.5" customHeight="1">
      <c r="A28" s="36" t="s">
        <v>177</v>
      </c>
      <c r="B28" s="30" t="s">
        <v>159</v>
      </c>
      <c r="C28" s="33" t="s">
        <v>178</v>
      </c>
      <c r="D28" s="8" t="s">
        <v>12</v>
      </c>
      <c r="E28" s="91"/>
      <c r="F28" s="61"/>
      <c r="G28" s="61"/>
      <c r="H28" s="61"/>
      <c r="I28" s="14"/>
      <c r="J28" s="6"/>
    </row>
    <row r="29" spans="1:11" ht="69" customHeight="1">
      <c r="A29" s="36" t="s">
        <v>179</v>
      </c>
      <c r="B29" s="30" t="s">
        <v>180</v>
      </c>
      <c r="C29" s="34" t="s">
        <v>181</v>
      </c>
      <c r="D29" s="29" t="s">
        <v>12</v>
      </c>
      <c r="E29" s="93"/>
      <c r="F29" s="69">
        <f>'Раздел 2'!F15</f>
        <v>4967712.25</v>
      </c>
      <c r="G29" s="69">
        <f>'Раздел 2'!G15</f>
        <v>1826940.28</v>
      </c>
      <c r="H29" s="69">
        <f>'Раздел 2'!H15</f>
        <v>1860888.73</v>
      </c>
      <c r="I29" s="26"/>
      <c r="J29" s="6"/>
    </row>
    <row r="30" spans="1:11" ht="18.75" customHeight="1">
      <c r="A30" s="36"/>
      <c r="B30" s="26" t="s">
        <v>182</v>
      </c>
      <c r="C30" s="34" t="s">
        <v>183</v>
      </c>
      <c r="D30" s="29"/>
      <c r="E30" s="93"/>
      <c r="F30" s="69"/>
      <c r="G30" s="69"/>
      <c r="H30" s="69"/>
      <c r="I30" s="26"/>
      <c r="J30" s="6"/>
    </row>
    <row r="31" spans="1:11" ht="72" customHeight="1">
      <c r="A31" s="36" t="s">
        <v>184</v>
      </c>
      <c r="B31" s="30" t="s">
        <v>185</v>
      </c>
      <c r="C31" s="34" t="s">
        <v>186</v>
      </c>
      <c r="D31" s="29" t="s">
        <v>12</v>
      </c>
      <c r="E31" s="93"/>
      <c r="F31" s="69">
        <v>0</v>
      </c>
      <c r="G31" s="69">
        <v>0</v>
      </c>
      <c r="H31" s="69">
        <v>0</v>
      </c>
      <c r="I31" s="27"/>
      <c r="J31" s="6"/>
    </row>
    <row r="32" spans="1:11" ht="20.25" customHeight="1">
      <c r="A32" s="36"/>
      <c r="B32" s="26" t="s">
        <v>182</v>
      </c>
      <c r="C32" s="34" t="s">
        <v>187</v>
      </c>
      <c r="D32" s="29"/>
      <c r="E32" s="93"/>
      <c r="F32" s="69"/>
      <c r="G32" s="69"/>
      <c r="H32" s="69"/>
      <c r="I32" s="8"/>
      <c r="J32" s="6"/>
    </row>
    <row r="33" spans="1:9" ht="2.25" customHeight="1">
      <c r="A33" s="2"/>
      <c r="B33" s="5"/>
      <c r="C33" s="2"/>
      <c r="D33" s="2"/>
      <c r="E33" s="2"/>
      <c r="F33" s="70"/>
      <c r="G33" s="70"/>
      <c r="H33" s="70"/>
      <c r="I33" s="2"/>
    </row>
    <row r="34" spans="1:9" ht="10.5" customHeight="1">
      <c r="A34" s="2"/>
      <c r="B34" s="5"/>
      <c r="C34" s="2"/>
      <c r="D34" s="2"/>
      <c r="E34" s="2"/>
      <c r="F34" s="70"/>
      <c r="G34" s="70"/>
      <c r="H34" s="70"/>
      <c r="I34" s="2"/>
    </row>
    <row r="35" spans="1:9" ht="15.75">
      <c r="A35" s="197" t="s">
        <v>188</v>
      </c>
      <c r="B35" s="197"/>
      <c r="C35" s="214" t="s">
        <v>382</v>
      </c>
      <c r="D35" s="214"/>
      <c r="E35" s="94"/>
      <c r="F35" s="70"/>
      <c r="G35" s="70"/>
      <c r="H35" s="70"/>
      <c r="I35" s="2"/>
    </row>
    <row r="36" spans="1:9" ht="12.75" customHeight="1">
      <c r="A36" s="2"/>
      <c r="B36" s="213" t="s">
        <v>189</v>
      </c>
      <c r="C36" s="213"/>
      <c r="D36" s="213"/>
      <c r="E36" s="92"/>
      <c r="F36" s="70"/>
      <c r="G36" s="70"/>
      <c r="H36" s="70"/>
      <c r="I36" s="2"/>
    </row>
    <row r="37" spans="1:9" ht="15.75">
      <c r="A37" s="2"/>
      <c r="B37" s="2"/>
      <c r="C37" s="2"/>
      <c r="D37" s="2"/>
      <c r="E37" s="2"/>
      <c r="F37" s="70"/>
      <c r="G37" s="70"/>
      <c r="H37" s="70"/>
      <c r="I37" s="2"/>
    </row>
    <row r="38" spans="1:9" s="73" customFormat="1" ht="15.75">
      <c r="A38" s="75"/>
      <c r="B38" s="75" t="s">
        <v>419</v>
      </c>
      <c r="F38" s="162" t="s">
        <v>425</v>
      </c>
      <c r="G38" s="162"/>
      <c r="H38" s="75"/>
      <c r="I38" s="75"/>
    </row>
    <row r="39" spans="1:9" s="73" customFormat="1" ht="15.75" customHeight="1">
      <c r="A39" s="75"/>
      <c r="B39" s="215" t="s">
        <v>420</v>
      </c>
      <c r="C39" s="215"/>
      <c r="D39" s="215"/>
      <c r="E39" s="215"/>
      <c r="F39" s="215"/>
      <c r="G39" s="215"/>
      <c r="H39" s="75"/>
      <c r="I39" s="75"/>
    </row>
    <row r="40" spans="1:9" s="73" customFormat="1" ht="15.75">
      <c r="A40" s="75"/>
      <c r="B40" s="75"/>
      <c r="C40" s="75"/>
      <c r="D40" s="75"/>
      <c r="E40" s="75"/>
      <c r="F40" s="75"/>
      <c r="G40" s="75"/>
      <c r="H40" s="75"/>
      <c r="I40" s="75"/>
    </row>
    <row r="41" spans="1:9" s="73" customFormat="1" ht="15.75">
      <c r="A41" s="75"/>
      <c r="B41" s="75" t="s">
        <v>415</v>
      </c>
      <c r="C41" s="75"/>
      <c r="D41" s="75"/>
      <c r="E41" s="75"/>
      <c r="F41" s="75"/>
      <c r="G41" s="75"/>
      <c r="H41" s="75"/>
      <c r="I41" s="75"/>
    </row>
    <row r="42" spans="1:9" s="73" customFormat="1" ht="15.75">
      <c r="A42" s="75"/>
      <c r="B42" s="75"/>
      <c r="C42" s="75"/>
      <c r="D42" s="75"/>
      <c r="E42" s="75"/>
      <c r="F42" s="75"/>
      <c r="G42" s="75"/>
      <c r="H42" s="75"/>
      <c r="I42" s="75"/>
    </row>
    <row r="43" spans="1:9" ht="15.75">
      <c r="A43" s="2"/>
      <c r="B43" s="208" t="s">
        <v>190</v>
      </c>
      <c r="C43" s="208"/>
      <c r="D43" s="208"/>
      <c r="E43" s="208"/>
      <c r="F43" s="208"/>
      <c r="G43" s="2"/>
      <c r="H43" s="2"/>
      <c r="I43" s="2"/>
    </row>
    <row r="44" spans="1:9" s="163" customFormat="1" ht="35.25" customHeight="1">
      <c r="A44" s="17"/>
      <c r="B44" s="209" t="s">
        <v>423</v>
      </c>
      <c r="C44" s="209"/>
      <c r="D44" s="209"/>
      <c r="E44" s="209"/>
      <c r="F44" s="209"/>
      <c r="G44" s="17"/>
      <c r="H44" s="17"/>
      <c r="I44" s="17"/>
    </row>
    <row r="45" spans="1:9" ht="15.75">
      <c r="A45" s="2"/>
      <c r="B45" s="210" t="s">
        <v>191</v>
      </c>
      <c r="C45" s="210"/>
      <c r="D45" s="210"/>
      <c r="E45" s="210"/>
      <c r="F45" s="210"/>
      <c r="G45" s="2"/>
      <c r="H45" s="2"/>
      <c r="I45" s="2"/>
    </row>
    <row r="46" spans="1:9" ht="15.75">
      <c r="A46" s="2"/>
      <c r="B46" s="211" t="s">
        <v>421</v>
      </c>
      <c r="C46" s="211"/>
      <c r="D46" s="211"/>
      <c r="E46" s="211"/>
      <c r="F46" s="211"/>
      <c r="G46" s="2"/>
      <c r="H46" s="2"/>
      <c r="I46" s="2"/>
    </row>
    <row r="47" spans="1:9" ht="15.75">
      <c r="A47" s="2"/>
      <c r="B47" s="212" t="s">
        <v>192</v>
      </c>
      <c r="C47" s="212"/>
      <c r="D47" s="212"/>
      <c r="E47" s="212"/>
      <c r="F47" s="212"/>
      <c r="G47" s="2"/>
      <c r="H47" s="2"/>
      <c r="I47" s="2"/>
    </row>
    <row r="48" spans="1:9" ht="15.75">
      <c r="A48" s="2"/>
      <c r="B48" s="208" t="s">
        <v>422</v>
      </c>
      <c r="C48" s="208"/>
      <c r="D48" s="208"/>
      <c r="E48" s="208"/>
      <c r="F48" s="208"/>
      <c r="G48" s="2"/>
      <c r="H48" s="2"/>
      <c r="I48" s="2"/>
    </row>
    <row r="49" spans="1:9" ht="15.75">
      <c r="A49" s="2"/>
      <c r="B49" s="2"/>
      <c r="C49" s="2"/>
      <c r="D49" s="2"/>
      <c r="E49" s="2"/>
      <c r="F49" s="70"/>
      <c r="G49" s="70"/>
      <c r="H49" s="70"/>
      <c r="I49" s="2"/>
    </row>
    <row r="50" spans="1:9" ht="15.75">
      <c r="A50" s="2"/>
      <c r="B50" s="2"/>
      <c r="C50" s="2"/>
      <c r="D50" s="2"/>
      <c r="E50" s="2"/>
      <c r="F50" s="70"/>
      <c r="G50" s="70"/>
      <c r="H50" s="70"/>
      <c r="I50" s="2"/>
    </row>
    <row r="51" spans="1:9">
      <c r="A51" s="41"/>
      <c r="B51" s="41"/>
      <c r="C51" s="41"/>
      <c r="D51" s="41"/>
      <c r="E51" s="41"/>
      <c r="F51" s="71"/>
      <c r="G51" s="71"/>
      <c r="H51" s="71"/>
      <c r="I51" s="41"/>
    </row>
    <row r="52" spans="1:9">
      <c r="A52" s="41"/>
      <c r="B52" s="41"/>
      <c r="C52" s="41"/>
      <c r="D52" s="41"/>
      <c r="E52" s="41"/>
      <c r="F52" s="71"/>
      <c r="G52" s="71"/>
      <c r="H52" s="71"/>
      <c r="I52" s="41"/>
    </row>
    <row r="53" spans="1:9">
      <c r="A53" s="41"/>
      <c r="B53" s="41"/>
      <c r="C53" s="41"/>
      <c r="D53" s="41"/>
      <c r="E53" s="41"/>
      <c r="F53" s="71"/>
      <c r="G53" s="71"/>
      <c r="H53" s="71"/>
      <c r="I53" s="41"/>
    </row>
    <row r="54" spans="1:9">
      <c r="A54" s="41"/>
      <c r="B54" s="41"/>
      <c r="C54" s="41"/>
      <c r="D54" s="41"/>
      <c r="E54" s="41"/>
      <c r="F54" s="71"/>
      <c r="G54" s="71"/>
      <c r="H54" s="71"/>
      <c r="I54" s="41"/>
    </row>
    <row r="55" spans="1:9">
      <c r="A55" s="41"/>
      <c r="B55" s="41"/>
      <c r="C55" s="41"/>
      <c r="D55" s="41"/>
      <c r="E55" s="41"/>
      <c r="F55" s="71"/>
      <c r="G55" s="71"/>
      <c r="H55" s="71"/>
      <c r="I55" s="41"/>
    </row>
    <row r="56" spans="1:9">
      <c r="A56" s="41"/>
      <c r="B56" s="41"/>
      <c r="C56" s="41"/>
      <c r="D56" s="41"/>
      <c r="E56" s="41"/>
      <c r="F56" s="71"/>
      <c r="G56" s="71"/>
      <c r="H56" s="71"/>
      <c r="I56" s="41"/>
    </row>
    <row r="57" spans="1:9">
      <c r="A57" s="41"/>
      <c r="B57" s="41"/>
      <c r="C57" s="41"/>
      <c r="D57" s="41"/>
      <c r="E57" s="41"/>
      <c r="F57" s="71"/>
      <c r="G57" s="71"/>
      <c r="H57" s="71"/>
      <c r="I57" s="41"/>
    </row>
    <row r="58" spans="1:9">
      <c r="A58" s="41"/>
      <c r="B58" s="41"/>
      <c r="C58" s="41"/>
      <c r="D58" s="41"/>
      <c r="E58" s="41"/>
      <c r="F58" s="71"/>
      <c r="G58" s="71"/>
      <c r="H58" s="71"/>
      <c r="I58" s="41"/>
    </row>
    <row r="59" spans="1:9">
      <c r="A59" s="41"/>
      <c r="B59" s="41"/>
      <c r="C59" s="41"/>
      <c r="D59" s="41"/>
      <c r="E59" s="41"/>
      <c r="F59" s="71"/>
      <c r="G59" s="71"/>
      <c r="H59" s="71"/>
      <c r="I59" s="41"/>
    </row>
    <row r="60" spans="1:9">
      <c r="A60" s="41"/>
      <c r="B60" s="41"/>
      <c r="C60" s="41"/>
      <c r="D60" s="41"/>
      <c r="E60" s="41"/>
      <c r="F60" s="71"/>
      <c r="G60" s="71"/>
      <c r="H60" s="71"/>
      <c r="I60" s="41"/>
    </row>
    <row r="61" spans="1:9">
      <c r="A61" s="41"/>
      <c r="B61" s="41"/>
      <c r="C61" s="41"/>
      <c r="D61" s="41"/>
      <c r="E61" s="41"/>
      <c r="F61" s="71"/>
      <c r="G61" s="71"/>
      <c r="H61" s="71"/>
      <c r="I61" s="41"/>
    </row>
    <row r="62" spans="1:9">
      <c r="A62" s="41"/>
      <c r="B62" s="41"/>
      <c r="C62" s="41"/>
      <c r="D62" s="41"/>
      <c r="E62" s="41"/>
      <c r="F62" s="71"/>
      <c r="G62" s="71"/>
      <c r="H62" s="71"/>
      <c r="I62" s="41"/>
    </row>
  </sheetData>
  <mergeCells count="17">
    <mergeCell ref="B3:I3"/>
    <mergeCell ref="B36:D36"/>
    <mergeCell ref="C35:D35"/>
    <mergeCell ref="B39:G39"/>
    <mergeCell ref="E5:E6"/>
    <mergeCell ref="A35:B35"/>
    <mergeCell ref="A5:A6"/>
    <mergeCell ref="B5:B6"/>
    <mergeCell ref="C5:C6"/>
    <mergeCell ref="D5:D6"/>
    <mergeCell ref="F5:I5"/>
    <mergeCell ref="B48:F48"/>
    <mergeCell ref="B43:F43"/>
    <mergeCell ref="B44:F44"/>
    <mergeCell ref="B45:F45"/>
    <mergeCell ref="B46:F46"/>
    <mergeCell ref="B47:F4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2" manualBreakCount="2">
    <brk id="12" max="8" man="1"/>
    <brk id="2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B1:V399752"/>
  <sheetViews>
    <sheetView view="pageBreakPreview" topLeftCell="A241" zoomScale="60" zoomScaleNormal="80" workbookViewId="0">
      <selection activeCell="H260" sqref="H260"/>
    </sheetView>
  </sheetViews>
  <sheetFormatPr defaultColWidth="9.140625" defaultRowHeight="15" outlineLevelRow="1"/>
  <cols>
    <col min="1" max="1" width="3.85546875" style="73" customWidth="1"/>
    <col min="2" max="3" width="9.28515625" style="73" bestFit="1" customWidth="1"/>
    <col min="4" max="4" width="25.5703125" style="73" customWidth="1"/>
    <col min="5" max="5" width="11.85546875" style="73" customWidth="1"/>
    <col min="6" max="6" width="14.140625" style="73" customWidth="1"/>
    <col min="7" max="7" width="13.42578125" style="73" customWidth="1"/>
    <col min="8" max="8" width="13.5703125" style="73" customWidth="1"/>
    <col min="9" max="9" width="12" style="73" customWidth="1"/>
    <col min="10" max="10" width="11.42578125" style="73" customWidth="1"/>
    <col min="11" max="11" width="14" style="73" customWidth="1"/>
    <col min="12" max="12" width="14.5703125" style="73" customWidth="1"/>
    <col min="13" max="13" width="18" style="73" customWidth="1"/>
    <col min="14" max="14" width="13.140625" style="73" customWidth="1"/>
    <col min="15" max="15" width="14.7109375" style="73" customWidth="1"/>
    <col min="16" max="18" width="12.85546875" style="73" customWidth="1"/>
    <col min="19" max="19" width="30" style="73" customWidth="1"/>
    <col min="20" max="20" width="13" style="73" customWidth="1"/>
    <col min="21" max="21" width="13.85546875" style="73" customWidth="1"/>
    <col min="22" max="22" width="17.7109375" style="73" customWidth="1"/>
    <col min="23" max="16384" width="9.140625" style="73"/>
  </cols>
  <sheetData>
    <row r="1" spans="2:22" ht="15" customHeight="1"/>
    <row r="2" spans="2:22" ht="15" customHeight="1"/>
    <row r="3" spans="2:22" ht="71.25" customHeight="1">
      <c r="B3" s="75"/>
      <c r="C3" s="234" t="s">
        <v>408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22" ht="15.75">
      <c r="B4" s="75"/>
      <c r="C4" s="75"/>
      <c r="D4" s="75"/>
      <c r="E4" s="74"/>
      <c r="F4" s="74"/>
      <c r="G4" s="74"/>
      <c r="H4" s="74"/>
      <c r="I4" s="74"/>
      <c r="J4" s="74"/>
      <c r="K4" s="74"/>
      <c r="L4" s="74"/>
      <c r="M4" s="74"/>
    </row>
    <row r="5" spans="2:22" ht="15.75" customHeight="1">
      <c r="B5" s="75"/>
      <c r="C5" s="259" t="s">
        <v>268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2:22" ht="15.75">
      <c r="B6" s="75"/>
      <c r="C6" s="75"/>
      <c r="D6" s="75"/>
      <c r="E6" s="74"/>
      <c r="F6" s="74"/>
      <c r="G6" s="74"/>
      <c r="H6" s="74"/>
      <c r="I6" s="74"/>
      <c r="J6" s="74"/>
      <c r="K6" s="74"/>
      <c r="L6" s="74"/>
      <c r="M6" s="74"/>
    </row>
    <row r="7" spans="2:22" ht="15.75" customHeight="1">
      <c r="B7" s="75"/>
      <c r="C7" s="259" t="s">
        <v>254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</row>
    <row r="8" spans="2:22" ht="15.75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2:22" ht="63" customHeight="1">
      <c r="B9" s="250" t="s">
        <v>193</v>
      </c>
      <c r="C9" s="251" t="s">
        <v>2</v>
      </c>
      <c r="D9" s="250" t="s">
        <v>205</v>
      </c>
      <c r="E9" s="250" t="s">
        <v>334</v>
      </c>
      <c r="F9" s="250" t="s">
        <v>18</v>
      </c>
      <c r="G9" s="250"/>
      <c r="H9" s="250"/>
      <c r="I9" s="250"/>
      <c r="J9" s="251" t="s">
        <v>19</v>
      </c>
      <c r="K9" s="172" t="s">
        <v>194</v>
      </c>
      <c r="L9" s="250" t="s">
        <v>195</v>
      </c>
      <c r="M9" s="250"/>
      <c r="N9" s="250"/>
      <c r="O9" s="250"/>
      <c r="P9" s="250"/>
    </row>
    <row r="10" spans="2:22" ht="94.5" customHeight="1">
      <c r="B10" s="250"/>
      <c r="C10" s="280"/>
      <c r="D10" s="250"/>
      <c r="E10" s="250"/>
      <c r="F10" s="250" t="s">
        <v>7</v>
      </c>
      <c r="G10" s="250" t="s">
        <v>4</v>
      </c>
      <c r="H10" s="250"/>
      <c r="I10" s="250"/>
      <c r="J10" s="280"/>
      <c r="K10" s="251" t="s">
        <v>250</v>
      </c>
      <c r="L10" s="250" t="s">
        <v>196</v>
      </c>
      <c r="M10" s="249" t="s">
        <v>197</v>
      </c>
      <c r="N10" s="250" t="s">
        <v>198</v>
      </c>
      <c r="O10" s="250" t="s">
        <v>199</v>
      </c>
      <c r="P10" s="250"/>
      <c r="T10" s="73" t="s">
        <v>370</v>
      </c>
      <c r="U10" s="73">
        <v>0</v>
      </c>
    </row>
    <row r="11" spans="2:22" ht="87.75" customHeight="1">
      <c r="B11" s="250"/>
      <c r="C11" s="252"/>
      <c r="D11" s="250"/>
      <c r="E11" s="250"/>
      <c r="F11" s="250"/>
      <c r="G11" s="172" t="s">
        <v>20</v>
      </c>
      <c r="H11" s="172" t="s">
        <v>21</v>
      </c>
      <c r="I11" s="172" t="s">
        <v>22</v>
      </c>
      <c r="J11" s="252"/>
      <c r="K11" s="252"/>
      <c r="L11" s="250"/>
      <c r="M11" s="249"/>
      <c r="N11" s="250"/>
      <c r="O11" s="172" t="s">
        <v>14</v>
      </c>
      <c r="P11" s="172" t="s">
        <v>200</v>
      </c>
      <c r="Q11" s="107"/>
      <c r="R11" s="107"/>
      <c r="S11" s="107"/>
      <c r="T11" s="108" t="s">
        <v>335</v>
      </c>
      <c r="U11" s="109"/>
    </row>
    <row r="12" spans="2:22" ht="15.75">
      <c r="B12" s="172">
        <v>1</v>
      </c>
      <c r="C12" s="172">
        <v>2</v>
      </c>
      <c r="D12" s="172">
        <v>3</v>
      </c>
      <c r="E12" s="172">
        <v>4</v>
      </c>
      <c r="F12" s="172">
        <v>5</v>
      </c>
      <c r="G12" s="172">
        <v>6</v>
      </c>
      <c r="H12" s="172">
        <v>7</v>
      </c>
      <c r="I12" s="172">
        <v>8</v>
      </c>
      <c r="J12" s="172">
        <v>9</v>
      </c>
      <c r="K12" s="172">
        <v>10</v>
      </c>
      <c r="L12" s="172">
        <v>11</v>
      </c>
      <c r="M12" s="172">
        <v>12</v>
      </c>
      <c r="N12" s="172">
        <v>13</v>
      </c>
      <c r="O12" s="172">
        <v>14</v>
      </c>
      <c r="P12" s="172">
        <v>15</v>
      </c>
      <c r="Q12" s="107"/>
      <c r="R12" s="107"/>
      <c r="S12" s="107"/>
      <c r="T12" s="108" t="s">
        <v>336</v>
      </c>
      <c r="U12" s="109"/>
    </row>
    <row r="13" spans="2:22" ht="36.75" customHeight="1">
      <c r="B13" s="170">
        <v>111</v>
      </c>
      <c r="C13" s="170" t="s">
        <v>201</v>
      </c>
      <c r="D13" s="78" t="s">
        <v>332</v>
      </c>
      <c r="E13" s="170">
        <v>8</v>
      </c>
      <c r="F13" s="86">
        <f>G13+H13+I13</f>
        <v>55645.362500000003</v>
      </c>
      <c r="G13" s="76">
        <f>(127975.01)/E13</f>
        <v>15996.876249999999</v>
      </c>
      <c r="H13" s="86">
        <f>(24067.12+8821.78+6398.75)/E13+861+9701.1</f>
        <v>15473.056250000001</v>
      </c>
      <c r="I13" s="86">
        <v>24175.43</v>
      </c>
      <c r="J13" s="170">
        <f xml:space="preserve"> ROUND((F13*15%),2)</f>
        <v>8346.7999999999993</v>
      </c>
      <c r="K13" s="86">
        <f>ROUND(((F13+J13)*12*E13),2)+0.72-0.32+0.36+0.23+0.01-0.16+0.73+0.16+0.04-0.55+0.16+5.98+0.59</f>
        <v>6143255.5500000007</v>
      </c>
      <c r="L13" s="86">
        <f>K13-O13-M13</f>
        <v>6143059.8200000003</v>
      </c>
      <c r="M13" s="86">
        <f>U10</f>
        <v>0</v>
      </c>
      <c r="N13" s="86" t="s">
        <v>244</v>
      </c>
      <c r="O13" s="170">
        <f>U15</f>
        <v>195.73</v>
      </c>
      <c r="P13" s="86" t="s">
        <v>244</v>
      </c>
      <c r="Q13" s="110">
        <f>U16-Q14-Q15-Q16</f>
        <v>6143255.5500000007</v>
      </c>
      <c r="R13" s="110">
        <f>S13/12/1.15/E13</f>
        <v>0</v>
      </c>
      <c r="S13" s="111">
        <f>Q13-K13</f>
        <v>0</v>
      </c>
      <c r="T13" s="108" t="s">
        <v>337</v>
      </c>
      <c r="U13" s="112">
        <v>10850611.699999999</v>
      </c>
    </row>
    <row r="14" spans="2:22" ht="36.75" customHeight="1">
      <c r="B14" s="170">
        <v>111</v>
      </c>
      <c r="C14" s="170" t="s">
        <v>179</v>
      </c>
      <c r="D14" s="78" t="s">
        <v>333</v>
      </c>
      <c r="E14" s="170">
        <v>2</v>
      </c>
      <c r="F14" s="86">
        <f>G14+H14+I14</f>
        <v>19446</v>
      </c>
      <c r="G14" s="76">
        <f>(14000+14000)/E14</f>
        <v>14000</v>
      </c>
      <c r="H14" s="76">
        <f>(4326+700+2646+700)/E14</f>
        <v>4186</v>
      </c>
      <c r="I14" s="170">
        <f>(420+700+1400)/E14</f>
        <v>1260</v>
      </c>
      <c r="J14" s="170">
        <f xml:space="preserve"> ROUND((F14*15%),2)</f>
        <v>2916.9</v>
      </c>
      <c r="K14" s="86">
        <f>ROUND(((F14+J14)*12*E14),2)</f>
        <v>536709.6</v>
      </c>
      <c r="L14" s="86">
        <f>K14-O14</f>
        <v>536709.6</v>
      </c>
      <c r="M14" s="86" t="s">
        <v>244</v>
      </c>
      <c r="N14" s="86" t="s">
        <v>244</v>
      </c>
      <c r="O14" s="170">
        <v>0</v>
      </c>
      <c r="P14" s="86" t="s">
        <v>244</v>
      </c>
      <c r="Q14" s="110">
        <f>(22362.9+22362.9)*12</f>
        <v>536709.60000000009</v>
      </c>
      <c r="R14" s="110"/>
      <c r="S14" s="111">
        <f t="shared" ref="S14:S15" si="0">Q14-K14</f>
        <v>0</v>
      </c>
      <c r="T14" s="108" t="s">
        <v>338</v>
      </c>
      <c r="U14" s="112"/>
    </row>
    <row r="15" spans="2:22" ht="34.5" customHeight="1">
      <c r="B15" s="170">
        <v>111</v>
      </c>
      <c r="C15" s="170" t="s">
        <v>184</v>
      </c>
      <c r="D15" s="78" t="s">
        <v>202</v>
      </c>
      <c r="E15" s="170">
        <v>14.7</v>
      </c>
      <c r="F15" s="86">
        <f t="shared" ref="F15:F16" si="1">G15+H15+I15</f>
        <v>15709.65380952381</v>
      </c>
      <c r="G15" s="76">
        <f>(8800+67813.92+6400+7480+6400+34390)/E15</f>
        <v>8930.878911564625</v>
      </c>
      <c r="H15" s="86">
        <f>(4650+47291.8+5088.72+312+4712+5559.5+156+4712+21247.28+5088.72+390)/E15</f>
        <v>6748.844897959184</v>
      </c>
      <c r="I15" s="170">
        <f>440-410.07</f>
        <v>29.930000000000007</v>
      </c>
      <c r="J15" s="170">
        <f xml:space="preserve"> ROUND((F15*15%),2)</f>
        <v>2356.4499999999998</v>
      </c>
      <c r="K15" s="86">
        <f>ROUND(((F15+J15)*12*E15),2)+0.05</f>
        <v>3186860.76</v>
      </c>
      <c r="L15" s="86">
        <f t="shared" ref="L15:L16" si="2">K15-O15</f>
        <v>3186860.76</v>
      </c>
      <c r="M15" s="86" t="s">
        <v>244</v>
      </c>
      <c r="N15" s="86" t="s">
        <v>244</v>
      </c>
      <c r="O15" s="170">
        <v>0</v>
      </c>
      <c r="P15" s="86" t="s">
        <v>244</v>
      </c>
      <c r="Q15" s="110">
        <f>(15973.5+138582.4+12778.8+15174.83+12778.8+70283.4)*12</f>
        <v>3186860.76</v>
      </c>
      <c r="R15" s="110">
        <f>S15/1.15/12/E15</f>
        <v>0</v>
      </c>
      <c r="S15" s="111">
        <f t="shared" si="0"/>
        <v>0</v>
      </c>
      <c r="T15" s="108" t="s">
        <v>298</v>
      </c>
      <c r="U15" s="113">
        <v>195.73</v>
      </c>
    </row>
    <row r="16" spans="2:22" ht="50.25" customHeight="1">
      <c r="B16" s="170">
        <v>111</v>
      </c>
      <c r="C16" s="170" t="s">
        <v>204</v>
      </c>
      <c r="D16" s="78" t="s">
        <v>203</v>
      </c>
      <c r="E16" s="170">
        <f>1+2</f>
        <v>3</v>
      </c>
      <c r="F16" s="86">
        <f t="shared" si="1"/>
        <v>23767.666666666668</v>
      </c>
      <c r="G16" s="76">
        <f>(52670+6870)/E16</f>
        <v>19846.666666666668</v>
      </c>
      <c r="H16" s="76">
        <f>(1480.9+206.1)/E16</f>
        <v>562.33333333333337</v>
      </c>
      <c r="I16" s="76">
        <f>(8702+1374)/E16</f>
        <v>3358.6666666666665</v>
      </c>
      <c r="J16" s="76">
        <f xml:space="preserve"> ROUND((F16*15%),2)</f>
        <v>3565.15</v>
      </c>
      <c r="K16" s="86">
        <f>ROUND(((F16+J16)*12*E16),2)+0.12</f>
        <v>983981.52</v>
      </c>
      <c r="L16" s="86">
        <f t="shared" si="2"/>
        <v>983981.52</v>
      </c>
      <c r="M16" s="86" t="s">
        <v>244</v>
      </c>
      <c r="N16" s="86" t="s">
        <v>244</v>
      </c>
      <c r="O16" s="170">
        <v>0</v>
      </c>
      <c r="P16" s="86" t="s">
        <v>244</v>
      </c>
      <c r="Q16" s="110">
        <f>(72280.84+9717.62)*12</f>
        <v>983981.5199999999</v>
      </c>
      <c r="R16" s="110">
        <f>S16/1.15/12/F16</f>
        <v>0</v>
      </c>
      <c r="S16" s="111">
        <f>Q16-K16</f>
        <v>0</v>
      </c>
      <c r="T16" s="108" t="s">
        <v>7</v>
      </c>
      <c r="U16" s="114">
        <f>SUM(U10:U15)</f>
        <v>10850807.43</v>
      </c>
      <c r="V16" s="110">
        <f>U16-K17</f>
        <v>0</v>
      </c>
    </row>
    <row r="17" spans="2:21" ht="15.75">
      <c r="B17" s="115"/>
      <c r="C17" s="282" t="s">
        <v>23</v>
      </c>
      <c r="D17" s="282"/>
      <c r="E17" s="180" t="s">
        <v>9</v>
      </c>
      <c r="F17" s="180" t="s">
        <v>9</v>
      </c>
      <c r="G17" s="180" t="s">
        <v>9</v>
      </c>
      <c r="H17" s="180" t="s">
        <v>9</v>
      </c>
      <c r="I17" s="180" t="s">
        <v>9</v>
      </c>
      <c r="J17" s="180" t="s">
        <v>9</v>
      </c>
      <c r="K17" s="116">
        <f>SUM(K13:K16)</f>
        <v>10850807.43</v>
      </c>
      <c r="L17" s="116">
        <f>SUM(L13:L16)</f>
        <v>10850611.699999999</v>
      </c>
      <c r="M17" s="116">
        <f t="shared" ref="M17:P17" si="3">SUM(M13:M16)</f>
        <v>0</v>
      </c>
      <c r="N17" s="116">
        <f t="shared" si="3"/>
        <v>0</v>
      </c>
      <c r="O17" s="116">
        <f t="shared" si="3"/>
        <v>195.73</v>
      </c>
      <c r="P17" s="116">
        <f t="shared" si="3"/>
        <v>0</v>
      </c>
      <c r="R17" s="110"/>
      <c r="S17" s="111"/>
      <c r="U17" s="73" t="b">
        <f>K17=U16</f>
        <v>1</v>
      </c>
    </row>
    <row r="18" spans="2:21" ht="15" customHeight="1">
      <c r="S18" s="110"/>
    </row>
    <row r="19" spans="2:21" ht="21" customHeight="1">
      <c r="B19" s="75"/>
      <c r="C19" s="260" t="s">
        <v>255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75"/>
      <c r="P19" s="75"/>
      <c r="Q19" s="107"/>
      <c r="R19" s="107"/>
      <c r="S19" s="107"/>
    </row>
    <row r="20" spans="2:21" ht="15.75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21" ht="34.5" customHeight="1">
      <c r="B21" s="250" t="s">
        <v>193</v>
      </c>
      <c r="C21" s="250" t="s">
        <v>2</v>
      </c>
      <c r="D21" s="250" t="s">
        <v>24</v>
      </c>
      <c r="E21" s="250" t="s">
        <v>209</v>
      </c>
      <c r="F21" s="250"/>
      <c r="G21" s="250" t="s">
        <v>195</v>
      </c>
      <c r="H21" s="250"/>
      <c r="I21" s="250"/>
      <c r="J21" s="250"/>
      <c r="K21" s="250"/>
      <c r="L21" s="250"/>
      <c r="M21" s="250"/>
      <c r="N21" s="117"/>
      <c r="O21" s="117"/>
      <c r="P21" s="117"/>
      <c r="Q21" s="117"/>
      <c r="R21" s="117"/>
    </row>
    <row r="22" spans="2:21" ht="90.75" customHeight="1">
      <c r="B22" s="250"/>
      <c r="C22" s="250"/>
      <c r="D22" s="250"/>
      <c r="E22" s="250"/>
      <c r="F22" s="250"/>
      <c r="G22" s="250" t="s">
        <v>196</v>
      </c>
      <c r="H22" s="250"/>
      <c r="I22" s="249" t="s">
        <v>197</v>
      </c>
      <c r="J22" s="249"/>
      <c r="K22" s="250" t="s">
        <v>198</v>
      </c>
      <c r="L22" s="253" t="s">
        <v>199</v>
      </c>
      <c r="M22" s="254"/>
      <c r="N22" s="281"/>
      <c r="O22" s="281"/>
      <c r="P22" s="173"/>
      <c r="Q22" s="118"/>
      <c r="R22" s="118"/>
      <c r="S22" s="118"/>
    </row>
    <row r="23" spans="2:21" ht="39" customHeight="1">
      <c r="B23" s="250"/>
      <c r="C23" s="250"/>
      <c r="D23" s="250"/>
      <c r="E23" s="250"/>
      <c r="F23" s="250"/>
      <c r="G23" s="250"/>
      <c r="H23" s="250"/>
      <c r="I23" s="249"/>
      <c r="J23" s="249"/>
      <c r="K23" s="250"/>
      <c r="L23" s="172" t="s">
        <v>14</v>
      </c>
      <c r="M23" s="172" t="s">
        <v>200</v>
      </c>
      <c r="N23" s="173"/>
      <c r="O23" s="173"/>
      <c r="P23" s="173"/>
      <c r="Q23" s="118"/>
      <c r="R23" s="118"/>
      <c r="S23" s="118"/>
    </row>
    <row r="24" spans="2:21" ht="15.75" customHeight="1">
      <c r="B24" s="172">
        <v>1</v>
      </c>
      <c r="C24" s="172">
        <v>2</v>
      </c>
      <c r="D24" s="172">
        <v>3</v>
      </c>
      <c r="E24" s="250">
        <v>4</v>
      </c>
      <c r="F24" s="250"/>
      <c r="G24" s="250">
        <v>5</v>
      </c>
      <c r="H24" s="250"/>
      <c r="I24" s="250">
        <v>6</v>
      </c>
      <c r="J24" s="250"/>
      <c r="K24" s="172">
        <v>7</v>
      </c>
      <c r="L24" s="172">
        <v>8</v>
      </c>
      <c r="M24" s="172">
        <v>9</v>
      </c>
      <c r="N24" s="173"/>
      <c r="O24" s="173"/>
      <c r="P24" s="173"/>
      <c r="Q24" s="118"/>
      <c r="R24" s="118"/>
      <c r="S24" s="118"/>
    </row>
    <row r="25" spans="2:21" ht="30.75" customHeight="1">
      <c r="B25" s="170">
        <v>111</v>
      </c>
      <c r="C25" s="170" t="s">
        <v>201</v>
      </c>
      <c r="D25" s="119" t="s">
        <v>287</v>
      </c>
      <c r="E25" s="283">
        <v>21005.86</v>
      </c>
      <c r="F25" s="284"/>
      <c r="G25" s="277" t="s">
        <v>9</v>
      </c>
      <c r="H25" s="277"/>
      <c r="I25" s="277" t="s">
        <v>9</v>
      </c>
      <c r="J25" s="277"/>
      <c r="K25" s="170" t="s">
        <v>9</v>
      </c>
      <c r="L25" s="170" t="s">
        <v>9</v>
      </c>
      <c r="M25" s="170" t="s">
        <v>9</v>
      </c>
      <c r="N25" s="117"/>
      <c r="O25" s="117"/>
      <c r="P25" s="117"/>
      <c r="Q25" s="83" t="s">
        <v>300</v>
      </c>
      <c r="R25" s="83"/>
      <c r="S25" s="118"/>
    </row>
    <row r="26" spans="2:21" ht="15.75" customHeight="1">
      <c r="B26" s="78"/>
      <c r="C26" s="285" t="s">
        <v>23</v>
      </c>
      <c r="D26" s="286"/>
      <c r="E26" s="287">
        <f>SUM(E25)</f>
        <v>21005.86</v>
      </c>
      <c r="F26" s="287"/>
      <c r="G26" s="287">
        <f>E26</f>
        <v>21005.86</v>
      </c>
      <c r="H26" s="288"/>
      <c r="I26" s="289">
        <v>0</v>
      </c>
      <c r="J26" s="289"/>
      <c r="K26" s="171">
        <v>0</v>
      </c>
      <c r="L26" s="171">
        <v>0</v>
      </c>
      <c r="M26" s="171">
        <v>0</v>
      </c>
      <c r="N26" s="117"/>
      <c r="O26" s="117"/>
      <c r="P26" s="117"/>
      <c r="Q26" s="118"/>
      <c r="R26" s="118"/>
      <c r="S26" s="118"/>
    </row>
    <row r="27" spans="2:21" ht="15.75">
      <c r="B27" s="120"/>
      <c r="C27" s="120"/>
      <c r="D27" s="121"/>
      <c r="E27" s="77"/>
      <c r="F27" s="77"/>
      <c r="G27" s="77"/>
      <c r="H27" s="117"/>
      <c r="I27" s="173"/>
      <c r="J27" s="173"/>
      <c r="K27" s="173"/>
      <c r="L27" s="173"/>
      <c r="M27" s="117"/>
      <c r="N27" s="117"/>
      <c r="O27" s="117"/>
      <c r="P27" s="117"/>
      <c r="Q27" s="118"/>
      <c r="R27" s="118"/>
      <c r="S27" s="118"/>
    </row>
    <row r="28" spans="2:21" ht="18.75" customHeight="1">
      <c r="B28" s="75"/>
      <c r="C28" s="234" t="s">
        <v>256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122"/>
      <c r="P28" s="122"/>
    </row>
    <row r="29" spans="2:21" ht="15.7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21" ht="36" customHeight="1">
      <c r="B30" s="250" t="s">
        <v>193</v>
      </c>
      <c r="C30" s="250" t="s">
        <v>2</v>
      </c>
      <c r="D30" s="250" t="s">
        <v>24</v>
      </c>
      <c r="E30" s="250" t="s">
        <v>206</v>
      </c>
      <c r="F30" s="250" t="s">
        <v>207</v>
      </c>
      <c r="G30" s="250" t="s">
        <v>208</v>
      </c>
      <c r="H30" s="172" t="s">
        <v>209</v>
      </c>
      <c r="I30" s="250" t="s">
        <v>195</v>
      </c>
      <c r="J30" s="250"/>
      <c r="K30" s="250"/>
      <c r="L30" s="250"/>
      <c r="M30" s="250"/>
      <c r="N30" s="250"/>
      <c r="O30" s="250"/>
      <c r="P30" s="117"/>
    </row>
    <row r="31" spans="2:21" ht="87.75" customHeight="1">
      <c r="B31" s="250"/>
      <c r="C31" s="250"/>
      <c r="D31" s="250"/>
      <c r="E31" s="250"/>
      <c r="F31" s="250"/>
      <c r="G31" s="250"/>
      <c r="H31" s="250" t="s">
        <v>247</v>
      </c>
      <c r="I31" s="229" t="s">
        <v>196</v>
      </c>
      <c r="J31" s="229"/>
      <c r="K31" s="249" t="s">
        <v>197</v>
      </c>
      <c r="L31" s="249"/>
      <c r="M31" s="250" t="s">
        <v>198</v>
      </c>
      <c r="N31" s="227" t="s">
        <v>199</v>
      </c>
      <c r="O31" s="228"/>
      <c r="P31" s="173"/>
      <c r="Q31" s="267"/>
      <c r="R31" s="267"/>
      <c r="S31" s="267"/>
      <c r="T31" s="75"/>
    </row>
    <row r="32" spans="2:21" ht="30.75" customHeight="1">
      <c r="B32" s="250"/>
      <c r="C32" s="250"/>
      <c r="D32" s="250"/>
      <c r="E32" s="250"/>
      <c r="F32" s="250"/>
      <c r="G32" s="250"/>
      <c r="H32" s="250"/>
      <c r="I32" s="229"/>
      <c r="J32" s="229"/>
      <c r="K32" s="249"/>
      <c r="L32" s="249"/>
      <c r="M32" s="250"/>
      <c r="N32" s="178" t="s">
        <v>14</v>
      </c>
      <c r="O32" s="178" t="s">
        <v>200</v>
      </c>
      <c r="P32" s="173"/>
      <c r="Q32" s="177"/>
      <c r="R32" s="177"/>
      <c r="S32" s="177"/>
      <c r="T32" s="75"/>
    </row>
    <row r="33" spans="2:20" ht="15.75">
      <c r="B33" s="172">
        <v>1</v>
      </c>
      <c r="C33" s="172">
        <v>2</v>
      </c>
      <c r="D33" s="172">
        <v>3</v>
      </c>
      <c r="E33" s="172">
        <v>4</v>
      </c>
      <c r="F33" s="172">
        <v>5</v>
      </c>
      <c r="G33" s="172">
        <v>6</v>
      </c>
      <c r="H33" s="172">
        <v>7</v>
      </c>
      <c r="I33" s="250">
        <v>8</v>
      </c>
      <c r="J33" s="250"/>
      <c r="K33" s="250">
        <v>9</v>
      </c>
      <c r="L33" s="250"/>
      <c r="M33" s="172">
        <v>10</v>
      </c>
      <c r="N33" s="172">
        <v>11</v>
      </c>
      <c r="O33" s="172">
        <v>12</v>
      </c>
      <c r="P33" s="173"/>
      <c r="Q33" s="173"/>
      <c r="R33" s="173"/>
      <c r="S33" s="173"/>
      <c r="T33" s="75"/>
    </row>
    <row r="34" spans="2:20" ht="99" customHeight="1">
      <c r="B34" s="170">
        <v>112</v>
      </c>
      <c r="C34" s="170">
        <v>1</v>
      </c>
      <c r="D34" s="123" t="s">
        <v>389</v>
      </c>
      <c r="E34" s="76">
        <v>200</v>
      </c>
      <c r="F34" s="170">
        <v>10</v>
      </c>
      <c r="G34" s="170">
        <v>5</v>
      </c>
      <c r="H34" s="76">
        <v>0</v>
      </c>
      <c r="I34" s="277" t="s">
        <v>9</v>
      </c>
      <c r="J34" s="277"/>
      <c r="K34" s="277" t="s">
        <v>9</v>
      </c>
      <c r="L34" s="277"/>
      <c r="M34" s="170" t="s">
        <v>9</v>
      </c>
      <c r="N34" s="170" t="s">
        <v>9</v>
      </c>
      <c r="O34" s="170" t="s">
        <v>9</v>
      </c>
      <c r="P34" s="120"/>
      <c r="Q34" s="83" t="s">
        <v>299</v>
      </c>
      <c r="R34" s="83"/>
      <c r="S34" s="77"/>
      <c r="T34" s="75"/>
    </row>
    <row r="35" spans="2:20" ht="15.75">
      <c r="B35" s="78"/>
      <c r="C35" s="123"/>
      <c r="D35" s="174" t="s">
        <v>23</v>
      </c>
      <c r="E35" s="180" t="s">
        <v>9</v>
      </c>
      <c r="F35" s="180" t="s">
        <v>9</v>
      </c>
      <c r="G35" s="180" t="s">
        <v>9</v>
      </c>
      <c r="H35" s="179">
        <f>SUM(H34)</f>
        <v>0</v>
      </c>
      <c r="I35" s="274">
        <f>H35</f>
        <v>0</v>
      </c>
      <c r="J35" s="275"/>
      <c r="K35" s="274">
        <v>0</v>
      </c>
      <c r="L35" s="274"/>
      <c r="M35" s="179">
        <v>0</v>
      </c>
      <c r="N35" s="179">
        <v>0</v>
      </c>
      <c r="O35" s="179">
        <v>0</v>
      </c>
      <c r="P35" s="124"/>
      <c r="Q35" s="117"/>
      <c r="R35" s="117"/>
      <c r="S35" s="117"/>
      <c r="T35" s="75"/>
    </row>
    <row r="36" spans="2:20" ht="15" customHeight="1"/>
    <row r="37" spans="2:20" ht="34.5" customHeight="1">
      <c r="B37" s="75"/>
      <c r="C37" s="234" t="s">
        <v>257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122"/>
      <c r="P37" s="122"/>
    </row>
    <row r="38" spans="2:20" ht="15.75" customHeight="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20" ht="36" customHeight="1">
      <c r="B39" s="250" t="s">
        <v>193</v>
      </c>
      <c r="C39" s="250" t="s">
        <v>2</v>
      </c>
      <c r="D39" s="250" t="s">
        <v>24</v>
      </c>
      <c r="E39" s="250" t="s">
        <v>206</v>
      </c>
      <c r="F39" s="250" t="s">
        <v>207</v>
      </c>
      <c r="G39" s="250" t="s">
        <v>208</v>
      </c>
      <c r="H39" s="172" t="s">
        <v>209</v>
      </c>
      <c r="I39" s="250" t="s">
        <v>195</v>
      </c>
      <c r="J39" s="250"/>
      <c r="K39" s="250"/>
      <c r="L39" s="250"/>
      <c r="M39" s="250"/>
      <c r="N39" s="250"/>
      <c r="O39" s="250"/>
      <c r="P39" s="117"/>
    </row>
    <row r="40" spans="2:20" ht="87" customHeight="1">
      <c r="B40" s="250"/>
      <c r="C40" s="250"/>
      <c r="D40" s="250"/>
      <c r="E40" s="250"/>
      <c r="F40" s="250"/>
      <c r="G40" s="250"/>
      <c r="H40" s="250" t="s">
        <v>247</v>
      </c>
      <c r="I40" s="229" t="s">
        <v>196</v>
      </c>
      <c r="J40" s="229"/>
      <c r="K40" s="249" t="s">
        <v>197</v>
      </c>
      <c r="L40" s="249"/>
      <c r="M40" s="250" t="s">
        <v>198</v>
      </c>
      <c r="N40" s="229" t="s">
        <v>199</v>
      </c>
      <c r="O40" s="229"/>
      <c r="P40" s="173"/>
      <c r="Q40" s="267"/>
      <c r="R40" s="267"/>
      <c r="S40" s="267"/>
      <c r="T40" s="75"/>
    </row>
    <row r="41" spans="2:20" ht="30.75" customHeight="1">
      <c r="B41" s="250"/>
      <c r="C41" s="250"/>
      <c r="D41" s="250"/>
      <c r="E41" s="250"/>
      <c r="F41" s="250"/>
      <c r="G41" s="250"/>
      <c r="H41" s="250"/>
      <c r="I41" s="229"/>
      <c r="J41" s="229"/>
      <c r="K41" s="249"/>
      <c r="L41" s="249"/>
      <c r="M41" s="250"/>
      <c r="N41" s="178" t="s">
        <v>14</v>
      </c>
      <c r="O41" s="178" t="s">
        <v>200</v>
      </c>
      <c r="P41" s="173"/>
      <c r="Q41" s="177"/>
      <c r="R41" s="177"/>
      <c r="S41" s="177"/>
      <c r="T41" s="75"/>
    </row>
    <row r="42" spans="2:20" ht="15.75" customHeight="1">
      <c r="B42" s="172">
        <v>1</v>
      </c>
      <c r="C42" s="172">
        <v>2</v>
      </c>
      <c r="D42" s="172">
        <v>3</v>
      </c>
      <c r="E42" s="172">
        <v>4</v>
      </c>
      <c r="F42" s="172">
        <v>5</v>
      </c>
      <c r="G42" s="172">
        <v>6</v>
      </c>
      <c r="H42" s="172">
        <v>7</v>
      </c>
      <c r="I42" s="250">
        <v>8</v>
      </c>
      <c r="J42" s="250"/>
      <c r="K42" s="250">
        <v>9</v>
      </c>
      <c r="L42" s="250"/>
      <c r="M42" s="172">
        <v>10</v>
      </c>
      <c r="N42" s="172">
        <v>11</v>
      </c>
      <c r="O42" s="172">
        <v>12</v>
      </c>
      <c r="P42" s="173"/>
      <c r="Q42" s="173"/>
      <c r="R42" s="173"/>
      <c r="S42" s="173"/>
      <c r="T42" s="75"/>
    </row>
    <row r="43" spans="2:20" ht="18" customHeight="1">
      <c r="B43" s="78"/>
      <c r="C43" s="170"/>
      <c r="D43" s="125"/>
      <c r="E43" s="78"/>
      <c r="F43" s="78"/>
      <c r="G43" s="78"/>
      <c r="H43" s="78"/>
      <c r="I43" s="277" t="s">
        <v>9</v>
      </c>
      <c r="J43" s="277"/>
      <c r="K43" s="277" t="s">
        <v>9</v>
      </c>
      <c r="L43" s="277"/>
      <c r="M43" s="170" t="s">
        <v>9</v>
      </c>
      <c r="N43" s="170" t="s">
        <v>9</v>
      </c>
      <c r="O43" s="170" t="s">
        <v>9</v>
      </c>
      <c r="P43" s="120"/>
      <c r="Q43" s="77" t="s">
        <v>323</v>
      </c>
      <c r="R43" s="77"/>
      <c r="S43" s="77"/>
      <c r="T43" s="75"/>
    </row>
    <row r="44" spans="2:20" ht="15.75" customHeight="1">
      <c r="B44" s="78"/>
      <c r="C44" s="123"/>
      <c r="D44" s="174" t="s">
        <v>23</v>
      </c>
      <c r="E44" s="180" t="s">
        <v>9</v>
      </c>
      <c r="F44" s="180" t="s">
        <v>9</v>
      </c>
      <c r="G44" s="180" t="s">
        <v>9</v>
      </c>
      <c r="H44" s="126"/>
      <c r="I44" s="275"/>
      <c r="J44" s="275"/>
      <c r="K44" s="275"/>
      <c r="L44" s="275"/>
      <c r="M44" s="126"/>
      <c r="N44" s="126"/>
      <c r="O44" s="126"/>
      <c r="P44" s="124"/>
      <c r="Q44" s="117"/>
      <c r="R44" s="117"/>
      <c r="S44" s="117"/>
      <c r="T44" s="75"/>
    </row>
    <row r="45" spans="2:20" ht="15.75">
      <c r="B45" s="120"/>
      <c r="C45" s="117"/>
      <c r="D45" s="127"/>
      <c r="E45" s="79"/>
      <c r="F45" s="79"/>
      <c r="G45" s="79"/>
      <c r="H45" s="124"/>
      <c r="I45" s="79"/>
      <c r="J45" s="79"/>
      <c r="K45" s="79"/>
      <c r="L45" s="79"/>
      <c r="M45" s="124"/>
      <c r="N45" s="124"/>
      <c r="O45" s="117"/>
      <c r="P45" s="117"/>
      <c r="Q45" s="117"/>
      <c r="R45" s="117"/>
      <c r="S45" s="117"/>
      <c r="T45" s="75"/>
    </row>
    <row r="46" spans="2:20" ht="54.75" customHeight="1">
      <c r="B46" s="75"/>
      <c r="C46" s="234" t="s">
        <v>258</v>
      </c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75"/>
      <c r="P46" s="75"/>
    </row>
    <row r="47" spans="2:20" ht="15.7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20" ht="23.25" customHeight="1">
      <c r="B48" s="250" t="s">
        <v>193</v>
      </c>
      <c r="C48" s="250" t="s">
        <v>2</v>
      </c>
      <c r="D48" s="250" t="s">
        <v>25</v>
      </c>
      <c r="E48" s="250" t="s">
        <v>211</v>
      </c>
      <c r="F48" s="250" t="s">
        <v>212</v>
      </c>
      <c r="G48" s="250" t="s">
        <v>213</v>
      </c>
      <c r="H48" s="250" t="s">
        <v>195</v>
      </c>
      <c r="I48" s="250"/>
      <c r="J48" s="250"/>
      <c r="K48" s="250"/>
      <c r="L48" s="250"/>
      <c r="M48" s="250"/>
      <c r="N48" s="250"/>
      <c r="O48" s="117"/>
      <c r="P48" s="117"/>
    </row>
    <row r="49" spans="2:21" ht="84" customHeight="1">
      <c r="B49" s="250"/>
      <c r="C49" s="250"/>
      <c r="D49" s="250"/>
      <c r="E49" s="250"/>
      <c r="F49" s="250"/>
      <c r="G49" s="253"/>
      <c r="H49" s="250" t="s">
        <v>196</v>
      </c>
      <c r="I49" s="250"/>
      <c r="J49" s="279" t="s">
        <v>197</v>
      </c>
      <c r="K49" s="249"/>
      <c r="L49" s="250" t="s">
        <v>198</v>
      </c>
      <c r="M49" s="250" t="s">
        <v>199</v>
      </c>
      <c r="N49" s="250"/>
      <c r="O49" s="117"/>
      <c r="P49" s="117"/>
    </row>
    <row r="50" spans="2:21" ht="36" customHeight="1">
      <c r="B50" s="250"/>
      <c r="C50" s="250"/>
      <c r="D50" s="250"/>
      <c r="E50" s="250"/>
      <c r="F50" s="250"/>
      <c r="G50" s="253"/>
      <c r="H50" s="250"/>
      <c r="I50" s="250"/>
      <c r="J50" s="279"/>
      <c r="K50" s="249"/>
      <c r="L50" s="250"/>
      <c r="M50" s="172" t="s">
        <v>14</v>
      </c>
      <c r="N50" s="172" t="s">
        <v>200</v>
      </c>
      <c r="O50" s="173"/>
      <c r="P50" s="173"/>
    </row>
    <row r="51" spans="2:21" ht="15.75">
      <c r="B51" s="172">
        <v>1</v>
      </c>
      <c r="C51" s="172">
        <v>2</v>
      </c>
      <c r="D51" s="172">
        <v>3</v>
      </c>
      <c r="E51" s="172">
        <v>4</v>
      </c>
      <c r="F51" s="172">
        <v>5</v>
      </c>
      <c r="G51" s="175">
        <v>6</v>
      </c>
      <c r="H51" s="250">
        <v>7</v>
      </c>
      <c r="I51" s="250"/>
      <c r="J51" s="254">
        <v>8</v>
      </c>
      <c r="K51" s="250"/>
      <c r="L51" s="172">
        <v>9</v>
      </c>
      <c r="M51" s="172">
        <v>10</v>
      </c>
      <c r="N51" s="172">
        <v>11</v>
      </c>
      <c r="O51" s="173"/>
      <c r="P51" s="173"/>
    </row>
    <row r="52" spans="2:21" ht="63">
      <c r="B52" s="170">
        <v>119</v>
      </c>
      <c r="C52" s="170" t="s">
        <v>201</v>
      </c>
      <c r="D52" s="125" t="s">
        <v>26</v>
      </c>
      <c r="E52" s="170" t="s">
        <v>9</v>
      </c>
      <c r="F52" s="170" t="s">
        <v>9</v>
      </c>
      <c r="G52" s="169">
        <f>SUM(G53:G54)</f>
        <v>2354809.2499999995</v>
      </c>
      <c r="H52" s="277" t="s">
        <v>9</v>
      </c>
      <c r="I52" s="277"/>
      <c r="J52" s="277" t="s">
        <v>9</v>
      </c>
      <c r="K52" s="277"/>
      <c r="L52" s="181" t="s">
        <v>9</v>
      </c>
      <c r="M52" s="181" t="s">
        <v>9</v>
      </c>
      <c r="N52" s="181" t="s">
        <v>9</v>
      </c>
      <c r="O52" s="77"/>
      <c r="R52" s="128">
        <f>ROUND((-0.39*100/30.2),0)</f>
        <v>-1</v>
      </c>
    </row>
    <row r="53" spans="2:21" ht="15.75">
      <c r="B53" s="170">
        <v>119</v>
      </c>
      <c r="C53" s="170" t="s">
        <v>27</v>
      </c>
      <c r="D53" s="125" t="s">
        <v>214</v>
      </c>
      <c r="E53" s="170">
        <v>22</v>
      </c>
      <c r="F53" s="85">
        <f>K17</f>
        <v>10850807.43</v>
      </c>
      <c r="G53" s="169">
        <f>ROUND((F53*22%),0)+23101+144-308.1-133022.16+39790.79+30922.69+54873.32-69000-233689+218543-73301-6061-28198+143835.71</f>
        <v>2354809.2499999995</v>
      </c>
      <c r="H53" s="277" t="s">
        <v>9</v>
      </c>
      <c r="I53" s="277"/>
      <c r="J53" s="277" t="s">
        <v>9</v>
      </c>
      <c r="K53" s="277"/>
      <c r="L53" s="181" t="s">
        <v>9</v>
      </c>
      <c r="M53" s="181" t="s">
        <v>9</v>
      </c>
      <c r="N53" s="181" t="s">
        <v>9</v>
      </c>
      <c r="O53" s="77"/>
      <c r="Q53" s="83" t="s">
        <v>301</v>
      </c>
      <c r="R53" s="166">
        <f>SUM(R54:R58)</f>
        <v>0</v>
      </c>
      <c r="T53" s="73" t="s">
        <v>370</v>
      </c>
    </row>
    <row r="54" spans="2:21" ht="15.75">
      <c r="B54" s="170">
        <v>119</v>
      </c>
      <c r="C54" s="170" t="s">
        <v>28</v>
      </c>
      <c r="D54" s="125" t="s">
        <v>215</v>
      </c>
      <c r="E54" s="170">
        <v>10</v>
      </c>
      <c r="F54" s="78"/>
      <c r="G54" s="169">
        <f>ROUND((F54*22%),2)</f>
        <v>0</v>
      </c>
      <c r="H54" s="277" t="s">
        <v>9</v>
      </c>
      <c r="I54" s="277"/>
      <c r="J54" s="277" t="s">
        <v>9</v>
      </c>
      <c r="K54" s="277"/>
      <c r="L54" s="181" t="s">
        <v>9</v>
      </c>
      <c r="M54" s="181" t="s">
        <v>9</v>
      </c>
      <c r="N54" s="181" t="s">
        <v>9</v>
      </c>
      <c r="O54" s="77"/>
      <c r="R54" s="76">
        <f>ROUND((R52*22%),0)</f>
        <v>0</v>
      </c>
    </row>
    <row r="55" spans="2:21" ht="71.25" customHeight="1">
      <c r="B55" s="170">
        <v>119</v>
      </c>
      <c r="C55" s="170" t="s">
        <v>179</v>
      </c>
      <c r="D55" s="125" t="s">
        <v>30</v>
      </c>
      <c r="E55" s="170" t="s">
        <v>9</v>
      </c>
      <c r="F55" s="170" t="s">
        <v>9</v>
      </c>
      <c r="G55" s="169">
        <f>G56+G57</f>
        <v>342929.96</v>
      </c>
      <c r="H55" s="277" t="s">
        <v>9</v>
      </c>
      <c r="I55" s="277"/>
      <c r="J55" s="277" t="s">
        <v>9</v>
      </c>
      <c r="K55" s="277"/>
      <c r="L55" s="181" t="s">
        <v>9</v>
      </c>
      <c r="M55" s="181" t="s">
        <v>9</v>
      </c>
      <c r="N55" s="181" t="s">
        <v>9</v>
      </c>
      <c r="O55" s="77"/>
      <c r="R55" s="129"/>
      <c r="T55" s="108" t="s">
        <v>305</v>
      </c>
      <c r="U55" s="108">
        <v>3261049.62</v>
      </c>
    </row>
    <row r="56" spans="2:21" ht="102" customHeight="1">
      <c r="B56" s="170">
        <v>119</v>
      </c>
      <c r="C56" s="170" t="s">
        <v>31</v>
      </c>
      <c r="D56" s="125" t="s">
        <v>216</v>
      </c>
      <c r="E56" s="170">
        <v>2.9</v>
      </c>
      <c r="F56" s="86">
        <f>F53</f>
        <v>10850807.43</v>
      </c>
      <c r="G56" s="169">
        <f>ROUND((F56*2.9%),0)+3045+19-0.04-30804+28808-9662-499-3717+18960</f>
        <v>320822.96000000002</v>
      </c>
      <c r="H56" s="277" t="s">
        <v>9</v>
      </c>
      <c r="I56" s="277"/>
      <c r="J56" s="277" t="s">
        <v>9</v>
      </c>
      <c r="K56" s="277"/>
      <c r="L56" s="181" t="s">
        <v>9</v>
      </c>
      <c r="M56" s="181" t="s">
        <v>9</v>
      </c>
      <c r="N56" s="181" t="s">
        <v>9</v>
      </c>
      <c r="O56" s="77"/>
      <c r="R56" s="76">
        <f>ROUND((R52*2.9%),0)</f>
        <v>0</v>
      </c>
      <c r="T56" s="108" t="s">
        <v>304</v>
      </c>
      <c r="U56" s="88"/>
    </row>
    <row r="57" spans="2:21" ht="117.75" customHeight="1">
      <c r="B57" s="170">
        <v>119</v>
      </c>
      <c r="C57" s="170" t="s">
        <v>32</v>
      </c>
      <c r="D57" s="123" t="s">
        <v>217</v>
      </c>
      <c r="E57" s="170">
        <v>0.2</v>
      </c>
      <c r="F57" s="86">
        <f>F53</f>
        <v>10850807.43</v>
      </c>
      <c r="G57" s="169">
        <f>ROUND((F57*0.2%),0)+210+1-2124+1987-666-55-256+1308</f>
        <v>22107</v>
      </c>
      <c r="H57" s="277" t="s">
        <v>9</v>
      </c>
      <c r="I57" s="277"/>
      <c r="J57" s="277" t="s">
        <v>9</v>
      </c>
      <c r="K57" s="277"/>
      <c r="L57" s="181" t="s">
        <v>9</v>
      </c>
      <c r="M57" s="181" t="s">
        <v>9</v>
      </c>
      <c r="N57" s="181" t="s">
        <v>9</v>
      </c>
      <c r="O57" s="77"/>
      <c r="R57" s="76">
        <f>ROUND((R52*0.2%),0)</f>
        <v>0</v>
      </c>
      <c r="T57" s="108" t="s">
        <v>298</v>
      </c>
      <c r="U57" s="108">
        <v>66.5</v>
      </c>
    </row>
    <row r="58" spans="2:21" ht="114.75" customHeight="1">
      <c r="B58" s="170">
        <v>119</v>
      </c>
      <c r="C58" s="170" t="s">
        <v>184</v>
      </c>
      <c r="D58" s="81" t="s">
        <v>33</v>
      </c>
      <c r="E58" s="170">
        <v>5.0999999999999996</v>
      </c>
      <c r="F58" s="86">
        <f>F53</f>
        <v>10850807.43</v>
      </c>
      <c r="G58" s="80">
        <f>ROUND((F58*5.1%),0)+5355+34-54173.98+50662-16992.72-1405-300-6537+33344-0.39</f>
        <v>563376.91</v>
      </c>
      <c r="H58" s="278" t="s">
        <v>9</v>
      </c>
      <c r="I58" s="278"/>
      <c r="J58" s="278" t="s">
        <v>9</v>
      </c>
      <c r="K58" s="278"/>
      <c r="L58" s="181" t="s">
        <v>9</v>
      </c>
      <c r="M58" s="181" t="s">
        <v>9</v>
      </c>
      <c r="N58" s="181" t="s">
        <v>9</v>
      </c>
      <c r="O58" s="77"/>
      <c r="R58" s="76">
        <f>ROUND((R52*5.1%),0)</f>
        <v>0</v>
      </c>
      <c r="T58" s="108" t="s">
        <v>7</v>
      </c>
      <c r="U58" s="130">
        <f>SUM(U53:U57)</f>
        <v>3261116.12</v>
      </c>
    </row>
    <row r="59" spans="2:21" ht="15.75">
      <c r="B59" s="78"/>
      <c r="C59" s="125"/>
      <c r="D59" s="131" t="s">
        <v>23</v>
      </c>
      <c r="E59" s="180" t="s">
        <v>9</v>
      </c>
      <c r="F59" s="180" t="s">
        <v>9</v>
      </c>
      <c r="G59" s="179">
        <f>G58+G55+G52</f>
        <v>3261116.1199999996</v>
      </c>
      <c r="H59" s="274">
        <f>U55+U56</f>
        <v>3261049.62</v>
      </c>
      <c r="I59" s="275"/>
      <c r="J59" s="274">
        <f>U53</f>
        <v>0</v>
      </c>
      <c r="K59" s="274"/>
      <c r="L59" s="179">
        <v>0</v>
      </c>
      <c r="M59" s="179">
        <f>U57</f>
        <v>66.5</v>
      </c>
      <c r="N59" s="179">
        <v>0</v>
      </c>
      <c r="O59" s="117"/>
      <c r="P59" s="117"/>
      <c r="Q59" s="132">
        <f>H59+J59+L59+M59</f>
        <v>3261116.12</v>
      </c>
      <c r="R59" s="132"/>
      <c r="S59" s="110">
        <f>Q59-G59</f>
        <v>0</v>
      </c>
      <c r="U59" s="73" t="b">
        <f>G59=U58</f>
        <v>1</v>
      </c>
    </row>
    <row r="60" spans="2:21" ht="15" customHeight="1">
      <c r="N60" s="107"/>
      <c r="Q60" s="73" t="b">
        <f>G59=Q59</f>
        <v>1</v>
      </c>
      <c r="U60" s="132">
        <f>U58-G59</f>
        <v>0</v>
      </c>
    </row>
    <row r="61" spans="2:21" ht="36" customHeight="1">
      <c r="B61" s="276" t="s">
        <v>218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118"/>
      <c r="O61" s="133"/>
      <c r="P61" s="133"/>
      <c r="Q61" s="133"/>
      <c r="R61" s="133"/>
    </row>
    <row r="62" spans="2:21" ht="15" customHeight="1"/>
    <row r="63" spans="2:21" ht="24" customHeight="1">
      <c r="B63" s="75"/>
      <c r="C63" s="234" t="s">
        <v>253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75"/>
      <c r="O63" s="75"/>
      <c r="P63" s="75"/>
    </row>
    <row r="64" spans="2:21" ht="15.75" customHeight="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8" ht="38.25" customHeight="1">
      <c r="B65" s="229" t="s">
        <v>193</v>
      </c>
      <c r="C65" s="229" t="s">
        <v>2</v>
      </c>
      <c r="D65" s="229" t="s">
        <v>3</v>
      </c>
      <c r="E65" s="229" t="s">
        <v>219</v>
      </c>
      <c r="F65" s="229" t="s">
        <v>220</v>
      </c>
      <c r="G65" s="178" t="s">
        <v>221</v>
      </c>
      <c r="H65" s="229" t="s">
        <v>195</v>
      </c>
      <c r="I65" s="229"/>
      <c r="J65" s="229"/>
      <c r="K65" s="229"/>
      <c r="L65" s="229"/>
      <c r="M65" s="229"/>
      <c r="N65" s="229"/>
      <c r="O65" s="134"/>
      <c r="P65" s="134"/>
      <c r="Q65" s="134"/>
      <c r="R65" s="134"/>
    </row>
    <row r="66" spans="2:18" ht="84" customHeight="1">
      <c r="B66" s="229"/>
      <c r="C66" s="229"/>
      <c r="D66" s="229"/>
      <c r="E66" s="229"/>
      <c r="F66" s="229"/>
      <c r="G66" s="229" t="s">
        <v>242</v>
      </c>
      <c r="H66" s="229" t="s">
        <v>196</v>
      </c>
      <c r="I66" s="229"/>
      <c r="J66" s="249" t="s">
        <v>197</v>
      </c>
      <c r="K66" s="249"/>
      <c r="L66" s="250" t="s">
        <v>198</v>
      </c>
      <c r="M66" s="250" t="s">
        <v>199</v>
      </c>
      <c r="N66" s="250"/>
      <c r="O66" s="134"/>
      <c r="P66" s="134"/>
      <c r="Q66" s="134"/>
      <c r="R66" s="134"/>
    </row>
    <row r="67" spans="2:18" ht="35.25" customHeight="1">
      <c r="B67" s="229"/>
      <c r="C67" s="229"/>
      <c r="D67" s="229"/>
      <c r="E67" s="229"/>
      <c r="F67" s="229"/>
      <c r="G67" s="229"/>
      <c r="H67" s="229"/>
      <c r="I67" s="229"/>
      <c r="J67" s="249"/>
      <c r="K67" s="249"/>
      <c r="L67" s="250"/>
      <c r="M67" s="172" t="s">
        <v>14</v>
      </c>
      <c r="N67" s="172" t="s">
        <v>200</v>
      </c>
      <c r="O67" s="177"/>
      <c r="P67" s="177"/>
      <c r="Q67" s="135"/>
      <c r="R67" s="135"/>
    </row>
    <row r="68" spans="2:18" ht="15.75" customHeight="1">
      <c r="B68" s="178">
        <v>1</v>
      </c>
      <c r="C68" s="178">
        <v>2</v>
      </c>
      <c r="D68" s="178">
        <v>3</v>
      </c>
      <c r="E68" s="178">
        <v>4</v>
      </c>
      <c r="F68" s="178">
        <v>5</v>
      </c>
      <c r="G68" s="178">
        <v>6</v>
      </c>
      <c r="H68" s="229">
        <v>7</v>
      </c>
      <c r="I68" s="229"/>
      <c r="J68" s="229">
        <v>8</v>
      </c>
      <c r="K68" s="229"/>
      <c r="L68" s="172">
        <v>9</v>
      </c>
      <c r="M68" s="172">
        <v>10</v>
      </c>
      <c r="N68" s="172">
        <v>11</v>
      </c>
      <c r="O68" s="177"/>
      <c r="P68" s="177"/>
      <c r="Q68" s="135"/>
      <c r="R68" s="135"/>
    </row>
    <row r="69" spans="2:18" ht="15.75" customHeight="1">
      <c r="B69" s="136"/>
      <c r="C69" s="137"/>
      <c r="D69" s="81"/>
      <c r="E69" s="164"/>
      <c r="F69" s="164"/>
      <c r="G69" s="164"/>
      <c r="H69" s="224" t="s">
        <v>9</v>
      </c>
      <c r="I69" s="224"/>
      <c r="J69" s="224" t="s">
        <v>9</v>
      </c>
      <c r="K69" s="224"/>
      <c r="L69" s="170" t="s">
        <v>9</v>
      </c>
      <c r="M69" s="170" t="s">
        <v>9</v>
      </c>
      <c r="N69" s="170" t="s">
        <v>9</v>
      </c>
      <c r="O69" s="138"/>
      <c r="P69" s="138"/>
      <c r="Q69" s="135"/>
      <c r="R69" s="135"/>
    </row>
    <row r="70" spans="2:18" ht="15.75">
      <c r="B70" s="164"/>
      <c r="C70" s="81"/>
      <c r="D70" s="139" t="s">
        <v>23</v>
      </c>
      <c r="E70" s="182" t="s">
        <v>9</v>
      </c>
      <c r="F70" s="182" t="s">
        <v>9</v>
      </c>
      <c r="G70" s="182"/>
      <c r="H70" s="258"/>
      <c r="I70" s="258"/>
      <c r="J70" s="258"/>
      <c r="K70" s="258"/>
      <c r="L70" s="180"/>
      <c r="M70" s="180"/>
      <c r="N70" s="180"/>
      <c r="O70" s="134"/>
      <c r="P70" s="134"/>
      <c r="Q70" s="135"/>
      <c r="R70" s="135"/>
    </row>
    <row r="71" spans="2:18" ht="15" customHeight="1">
      <c r="N71" s="107"/>
    </row>
    <row r="72" spans="2:18" ht="24" customHeight="1">
      <c r="B72" s="75"/>
      <c r="C72" s="234" t="s">
        <v>251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75"/>
      <c r="P72" s="75"/>
    </row>
    <row r="73" spans="2:18" ht="5.25" customHeight="1">
      <c r="B73" s="75"/>
      <c r="C73" s="75"/>
      <c r="D73" s="75"/>
      <c r="E73" s="75"/>
      <c r="F73" s="74"/>
      <c r="G73" s="74"/>
      <c r="H73" s="74"/>
      <c r="I73" s="74"/>
      <c r="J73" s="74"/>
      <c r="K73" s="74"/>
      <c r="L73" s="74"/>
      <c r="M73" s="74"/>
      <c r="N73" s="75"/>
      <c r="O73" s="75"/>
      <c r="P73" s="75"/>
    </row>
    <row r="74" spans="2:18" ht="21.75" customHeight="1">
      <c r="B74" s="75"/>
      <c r="C74" s="234" t="s">
        <v>259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75"/>
      <c r="P74" s="75"/>
    </row>
    <row r="75" spans="2:18" ht="15.75" customHeight="1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8" ht="21" customHeight="1">
      <c r="B76" s="229" t="s">
        <v>193</v>
      </c>
      <c r="C76" s="229" t="s">
        <v>2</v>
      </c>
      <c r="D76" s="229" t="s">
        <v>24</v>
      </c>
      <c r="E76" s="239" t="s">
        <v>222</v>
      </c>
      <c r="F76" s="240"/>
      <c r="G76" s="229" t="s">
        <v>223</v>
      </c>
      <c r="H76" s="237" t="s">
        <v>252</v>
      </c>
      <c r="I76" s="229" t="s">
        <v>195</v>
      </c>
      <c r="J76" s="229"/>
      <c r="K76" s="229"/>
      <c r="L76" s="229"/>
      <c r="M76" s="229"/>
      <c r="N76" s="229"/>
      <c r="O76" s="229"/>
      <c r="P76" s="134"/>
      <c r="Q76" s="134"/>
      <c r="R76" s="134"/>
    </row>
    <row r="77" spans="2:18" ht="81" customHeight="1">
      <c r="B77" s="229"/>
      <c r="C77" s="229"/>
      <c r="D77" s="229"/>
      <c r="E77" s="247"/>
      <c r="F77" s="248"/>
      <c r="G77" s="229"/>
      <c r="H77" s="238"/>
      <c r="I77" s="229" t="s">
        <v>196</v>
      </c>
      <c r="J77" s="229"/>
      <c r="K77" s="249" t="s">
        <v>197</v>
      </c>
      <c r="L77" s="249"/>
      <c r="M77" s="250" t="s">
        <v>198</v>
      </c>
      <c r="N77" s="250" t="s">
        <v>199</v>
      </c>
      <c r="O77" s="250"/>
      <c r="P77" s="173"/>
      <c r="Q77" s="134"/>
      <c r="R77" s="134"/>
    </row>
    <row r="78" spans="2:18" ht="31.5">
      <c r="B78" s="229"/>
      <c r="C78" s="229"/>
      <c r="D78" s="229"/>
      <c r="E78" s="241"/>
      <c r="F78" s="242"/>
      <c r="G78" s="229"/>
      <c r="H78" s="183" t="s">
        <v>242</v>
      </c>
      <c r="I78" s="229"/>
      <c r="J78" s="229"/>
      <c r="K78" s="249"/>
      <c r="L78" s="249"/>
      <c r="M78" s="250"/>
      <c r="N78" s="172" t="s">
        <v>14</v>
      </c>
      <c r="O78" s="172" t="s">
        <v>200</v>
      </c>
      <c r="P78" s="173"/>
      <c r="Q78" s="177"/>
      <c r="R78" s="177"/>
    </row>
    <row r="79" spans="2:18" ht="15.75" customHeight="1">
      <c r="B79" s="178">
        <v>1</v>
      </c>
      <c r="C79" s="178">
        <v>2</v>
      </c>
      <c r="D79" s="178">
        <v>3</v>
      </c>
      <c r="E79" s="140">
        <v>4</v>
      </c>
      <c r="F79" s="87"/>
      <c r="G79" s="178">
        <v>5</v>
      </c>
      <c r="H79" s="176">
        <v>7</v>
      </c>
      <c r="I79" s="229">
        <v>8</v>
      </c>
      <c r="J79" s="229"/>
      <c r="K79" s="229">
        <v>9</v>
      </c>
      <c r="L79" s="229"/>
      <c r="M79" s="172">
        <v>10</v>
      </c>
      <c r="N79" s="172">
        <v>11</v>
      </c>
      <c r="O79" s="172">
        <v>12</v>
      </c>
      <c r="P79" s="173"/>
      <c r="Q79" s="177"/>
      <c r="R79" s="177"/>
    </row>
    <row r="80" spans="2:18" ht="31.5" hidden="1">
      <c r="B80" s="164">
        <v>851</v>
      </c>
      <c r="C80" s="164" t="s">
        <v>201</v>
      </c>
      <c r="D80" s="82" t="s">
        <v>271</v>
      </c>
      <c r="E80" s="272">
        <f>ROUND((H80*100/G80),0)</f>
        <v>0</v>
      </c>
      <c r="F80" s="273"/>
      <c r="G80" s="164">
        <v>2.2000000000000002</v>
      </c>
      <c r="H80" s="184"/>
      <c r="I80" s="220" t="s">
        <v>9</v>
      </c>
      <c r="J80" s="221"/>
      <c r="K80" s="220" t="s">
        <v>9</v>
      </c>
      <c r="L80" s="221"/>
      <c r="M80" s="185" t="s">
        <v>9</v>
      </c>
      <c r="N80" s="164" t="s">
        <v>9</v>
      </c>
      <c r="O80" s="164" t="s">
        <v>9</v>
      </c>
      <c r="Q80" s="73">
        <f>E80*G80%</f>
        <v>0</v>
      </c>
    </row>
    <row r="81" spans="2:18" ht="15.75">
      <c r="B81" s="164">
        <v>851</v>
      </c>
      <c r="C81" s="164" t="s">
        <v>179</v>
      </c>
      <c r="D81" s="82" t="s">
        <v>272</v>
      </c>
      <c r="E81" s="220">
        <f>5371262+968317+807807+5138266</f>
        <v>12285652</v>
      </c>
      <c r="F81" s="221"/>
      <c r="G81" s="164">
        <v>1.5</v>
      </c>
      <c r="H81" s="184">
        <v>99466</v>
      </c>
      <c r="I81" s="220" t="s">
        <v>9</v>
      </c>
      <c r="J81" s="221"/>
      <c r="K81" s="220" t="s">
        <v>9</v>
      </c>
      <c r="L81" s="221"/>
      <c r="M81" s="185" t="s">
        <v>9</v>
      </c>
      <c r="N81" s="164" t="s">
        <v>9</v>
      </c>
      <c r="O81" s="164" t="s">
        <v>9</v>
      </c>
    </row>
    <row r="82" spans="2:18" ht="15.75">
      <c r="B82" s="164"/>
      <c r="C82" s="81"/>
      <c r="D82" s="139" t="s">
        <v>23</v>
      </c>
      <c r="E82" s="268" t="s">
        <v>9</v>
      </c>
      <c r="F82" s="269"/>
      <c r="G82" s="182" t="s">
        <v>9</v>
      </c>
      <c r="H82" s="141">
        <f>SUM(H80:H81)</f>
        <v>99466</v>
      </c>
      <c r="I82" s="235">
        <f>H82</f>
        <v>99466</v>
      </c>
      <c r="J82" s="258"/>
      <c r="K82" s="235">
        <v>0</v>
      </c>
      <c r="L82" s="235"/>
      <c r="M82" s="179">
        <v>0</v>
      </c>
      <c r="N82" s="179">
        <v>0</v>
      </c>
      <c r="O82" s="179">
        <v>0</v>
      </c>
      <c r="P82" s="142"/>
      <c r="Q82" s="83" t="s">
        <v>326</v>
      </c>
      <c r="R82" s="143"/>
    </row>
    <row r="83" spans="2:18" ht="15" customHeight="1">
      <c r="O83" s="107"/>
      <c r="P83" s="107"/>
      <c r="Q83" s="107"/>
      <c r="R83" s="107"/>
    </row>
    <row r="84" spans="2:18" ht="21" customHeight="1">
      <c r="B84" s="75"/>
      <c r="C84" s="234" t="s">
        <v>260</v>
      </c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75"/>
      <c r="O84" s="75"/>
      <c r="P84" s="75"/>
    </row>
    <row r="85" spans="2:18" ht="15.75" customHeight="1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8" ht="31.5" customHeight="1">
      <c r="B86" s="229" t="s">
        <v>193</v>
      </c>
      <c r="C86" s="229" t="s">
        <v>2</v>
      </c>
      <c r="D86" s="229" t="s">
        <v>24</v>
      </c>
      <c r="E86" s="237" t="s">
        <v>224</v>
      </c>
      <c r="F86" s="229" t="s">
        <v>195</v>
      </c>
      <c r="G86" s="229"/>
      <c r="H86" s="229"/>
      <c r="I86" s="229"/>
      <c r="J86" s="229"/>
      <c r="K86" s="229"/>
      <c r="L86" s="229"/>
      <c r="M86" s="134"/>
      <c r="N86" s="134"/>
      <c r="O86" s="134"/>
      <c r="P86" s="134"/>
    </row>
    <row r="87" spans="2:18" ht="99" customHeight="1">
      <c r="B87" s="229"/>
      <c r="C87" s="229"/>
      <c r="D87" s="229"/>
      <c r="E87" s="255"/>
      <c r="F87" s="229" t="s">
        <v>196</v>
      </c>
      <c r="G87" s="229"/>
      <c r="H87" s="249" t="s">
        <v>197</v>
      </c>
      <c r="I87" s="249"/>
      <c r="J87" s="250" t="s">
        <v>198</v>
      </c>
      <c r="K87" s="250" t="s">
        <v>199</v>
      </c>
      <c r="L87" s="250"/>
      <c r="M87" s="134"/>
      <c r="N87" s="267"/>
      <c r="O87" s="267"/>
      <c r="P87" s="177"/>
    </row>
    <row r="88" spans="2:18" ht="31.5">
      <c r="B88" s="229"/>
      <c r="C88" s="229"/>
      <c r="D88" s="229"/>
      <c r="E88" s="238"/>
      <c r="F88" s="229"/>
      <c r="G88" s="229"/>
      <c r="H88" s="249"/>
      <c r="I88" s="249"/>
      <c r="J88" s="250"/>
      <c r="K88" s="172" t="s">
        <v>14</v>
      </c>
      <c r="L88" s="172" t="s">
        <v>200</v>
      </c>
      <c r="M88" s="134"/>
      <c r="N88" s="177"/>
      <c r="O88" s="177"/>
      <c r="P88" s="177"/>
    </row>
    <row r="89" spans="2:18" ht="15.75" customHeight="1">
      <c r="B89" s="178">
        <v>1</v>
      </c>
      <c r="C89" s="178">
        <v>2</v>
      </c>
      <c r="D89" s="178">
        <v>3</v>
      </c>
      <c r="E89" s="178">
        <v>4</v>
      </c>
      <c r="F89" s="229">
        <v>5</v>
      </c>
      <c r="G89" s="229"/>
      <c r="H89" s="229">
        <v>6</v>
      </c>
      <c r="I89" s="229"/>
      <c r="J89" s="172">
        <v>7</v>
      </c>
      <c r="K89" s="172">
        <v>8</v>
      </c>
      <c r="L89" s="172">
        <v>9</v>
      </c>
      <c r="M89" s="134"/>
      <c r="N89" s="177"/>
      <c r="O89" s="177"/>
      <c r="P89" s="177"/>
    </row>
    <row r="90" spans="2:18" ht="15.75">
      <c r="B90" s="144"/>
      <c r="C90" s="187"/>
      <c r="D90" s="82"/>
      <c r="E90" s="187"/>
      <c r="F90" s="262" t="s">
        <v>9</v>
      </c>
      <c r="G90" s="262"/>
      <c r="H90" s="262" t="s">
        <v>9</v>
      </c>
      <c r="I90" s="262"/>
      <c r="J90" s="170" t="s">
        <v>9</v>
      </c>
      <c r="K90" s="170" t="s">
        <v>9</v>
      </c>
      <c r="L90" s="170" t="s">
        <v>9</v>
      </c>
      <c r="M90" s="134"/>
      <c r="N90" s="138"/>
      <c r="O90" s="138"/>
      <c r="P90" s="138"/>
    </row>
    <row r="91" spans="2:18" ht="15.75" customHeight="1">
      <c r="B91" s="144"/>
      <c r="C91" s="145"/>
      <c r="D91" s="139" t="s">
        <v>23</v>
      </c>
      <c r="E91" s="188">
        <f>SUM(E90)</f>
        <v>0</v>
      </c>
      <c r="F91" s="270">
        <f>E91</f>
        <v>0</v>
      </c>
      <c r="G91" s="271"/>
      <c r="H91" s="263">
        <v>0</v>
      </c>
      <c r="I91" s="263"/>
      <c r="J91" s="179">
        <v>0</v>
      </c>
      <c r="K91" s="179">
        <v>0</v>
      </c>
      <c r="L91" s="179">
        <v>0</v>
      </c>
      <c r="M91" s="134"/>
      <c r="N91" s="134"/>
      <c r="O91" s="134"/>
      <c r="P91" s="134"/>
      <c r="Q91" s="83" t="s">
        <v>327</v>
      </c>
    </row>
    <row r="92" spans="2:18" ht="15.7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8" ht="15.75" customHeight="1">
      <c r="B93" s="75"/>
      <c r="C93" s="261" t="s">
        <v>261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75"/>
      <c r="O93" s="75"/>
      <c r="P93" s="75"/>
    </row>
    <row r="94" spans="2:18" ht="15.7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8" ht="31.5" customHeight="1">
      <c r="B95" s="229" t="s">
        <v>193</v>
      </c>
      <c r="C95" s="229" t="s">
        <v>2</v>
      </c>
      <c r="D95" s="229" t="s">
        <v>24</v>
      </c>
      <c r="E95" s="237" t="s">
        <v>224</v>
      </c>
      <c r="F95" s="229" t="s">
        <v>195</v>
      </c>
      <c r="G95" s="229"/>
      <c r="H95" s="229"/>
      <c r="I95" s="229"/>
      <c r="J95" s="229"/>
      <c r="K95" s="229"/>
      <c r="L95" s="229"/>
      <c r="M95" s="134"/>
      <c r="N95" s="134"/>
      <c r="O95" s="134"/>
      <c r="P95" s="134"/>
    </row>
    <row r="96" spans="2:18" ht="99" customHeight="1">
      <c r="B96" s="229"/>
      <c r="C96" s="229"/>
      <c r="D96" s="229"/>
      <c r="E96" s="255"/>
      <c r="F96" s="229" t="s">
        <v>196</v>
      </c>
      <c r="G96" s="229"/>
      <c r="H96" s="249" t="s">
        <v>197</v>
      </c>
      <c r="I96" s="249"/>
      <c r="J96" s="250" t="s">
        <v>198</v>
      </c>
      <c r="K96" s="250" t="s">
        <v>199</v>
      </c>
      <c r="L96" s="250"/>
      <c r="M96" s="134"/>
      <c r="N96" s="267"/>
      <c r="O96" s="267"/>
      <c r="P96" s="177"/>
    </row>
    <row r="97" spans="2:19" ht="31.5" customHeight="1">
      <c r="B97" s="229"/>
      <c r="C97" s="229"/>
      <c r="D97" s="229"/>
      <c r="E97" s="238"/>
      <c r="F97" s="229"/>
      <c r="G97" s="229"/>
      <c r="H97" s="249"/>
      <c r="I97" s="249"/>
      <c r="J97" s="250"/>
      <c r="K97" s="172" t="s">
        <v>14</v>
      </c>
      <c r="L97" s="172" t="s">
        <v>200</v>
      </c>
      <c r="M97" s="134"/>
      <c r="N97" s="177"/>
      <c r="O97" s="177"/>
      <c r="P97" s="177"/>
      <c r="Q97" s="83" t="s">
        <v>328</v>
      </c>
    </row>
    <row r="98" spans="2:19" ht="15.75">
      <c r="B98" s="178">
        <v>1</v>
      </c>
      <c r="C98" s="178">
        <v>2</v>
      </c>
      <c r="D98" s="178">
        <v>3</v>
      </c>
      <c r="E98" s="178">
        <v>4</v>
      </c>
      <c r="F98" s="229">
        <v>5</v>
      </c>
      <c r="G98" s="229"/>
      <c r="H98" s="229">
        <v>6</v>
      </c>
      <c r="I98" s="229"/>
      <c r="J98" s="172">
        <v>7</v>
      </c>
      <c r="K98" s="172">
        <v>8</v>
      </c>
      <c r="L98" s="172">
        <v>9</v>
      </c>
      <c r="M98" s="134"/>
      <c r="N98" s="177"/>
      <c r="O98" s="177"/>
      <c r="P98" s="177"/>
    </row>
    <row r="99" spans="2:19" ht="34.5" customHeight="1">
      <c r="B99" s="164">
        <v>853</v>
      </c>
      <c r="C99" s="164" t="s">
        <v>201</v>
      </c>
      <c r="D99" s="146"/>
      <c r="E99" s="165">
        <v>0</v>
      </c>
      <c r="F99" s="262" t="s">
        <v>9</v>
      </c>
      <c r="G99" s="262"/>
      <c r="H99" s="262" t="s">
        <v>9</v>
      </c>
      <c r="I99" s="262"/>
      <c r="J99" s="170" t="s">
        <v>9</v>
      </c>
      <c r="K99" s="170" t="s">
        <v>9</v>
      </c>
      <c r="L99" s="170" t="s">
        <v>9</v>
      </c>
      <c r="M99" s="134"/>
      <c r="N99" s="138"/>
      <c r="O99" s="138"/>
      <c r="P99" s="138"/>
      <c r="Q99" s="83" t="s">
        <v>302</v>
      </c>
      <c r="R99" s="83"/>
      <c r="S99" s="147">
        <f>E100+E91+H82</f>
        <v>99466</v>
      </c>
    </row>
    <row r="100" spans="2:19" ht="15.75">
      <c r="B100" s="164"/>
      <c r="C100" s="145"/>
      <c r="D100" s="139" t="s">
        <v>23</v>
      </c>
      <c r="E100" s="191">
        <f>SUM(E99)</f>
        <v>0</v>
      </c>
      <c r="F100" s="266">
        <f>E100</f>
        <v>0</v>
      </c>
      <c r="G100" s="266"/>
      <c r="H100" s="263">
        <v>0</v>
      </c>
      <c r="I100" s="263"/>
      <c r="J100" s="179">
        <v>0</v>
      </c>
      <c r="K100" s="179">
        <v>0</v>
      </c>
      <c r="L100" s="179">
        <v>0</v>
      </c>
      <c r="M100" s="134"/>
      <c r="N100" s="134"/>
      <c r="O100" s="134"/>
      <c r="P100" s="134"/>
    </row>
    <row r="101" spans="2:19" ht="15" customHeight="1">
      <c r="L101" s="107"/>
    </row>
    <row r="102" spans="2:19" ht="24.75" customHeight="1">
      <c r="B102" s="75"/>
      <c r="C102" s="234" t="s">
        <v>288</v>
      </c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75"/>
      <c r="O102" s="75"/>
    </row>
    <row r="103" spans="2:19" ht="7.5" customHeight="1">
      <c r="B103" s="75"/>
      <c r="C103" s="75"/>
      <c r="D103" s="75"/>
      <c r="E103" s="74"/>
      <c r="F103" s="74"/>
      <c r="G103" s="74"/>
      <c r="H103" s="74"/>
      <c r="I103" s="74"/>
      <c r="J103" s="74"/>
      <c r="K103" s="74"/>
      <c r="L103" s="74"/>
      <c r="M103" s="74"/>
      <c r="N103" s="75"/>
      <c r="O103" s="75"/>
    </row>
    <row r="104" spans="2:19" ht="23.25" customHeight="1">
      <c r="B104" s="75"/>
      <c r="C104" s="234" t="s">
        <v>289</v>
      </c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75"/>
      <c r="O104" s="75"/>
    </row>
    <row r="105" spans="2:19" ht="15.7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9" ht="31.5" customHeight="1">
      <c r="B106" s="229" t="s">
        <v>193</v>
      </c>
      <c r="C106" s="229" t="s">
        <v>2</v>
      </c>
      <c r="D106" s="229" t="s">
        <v>3</v>
      </c>
      <c r="E106" s="229" t="s">
        <v>225</v>
      </c>
      <c r="F106" s="229" t="s">
        <v>226</v>
      </c>
      <c r="G106" s="178" t="s">
        <v>227</v>
      </c>
      <c r="H106" s="229" t="s">
        <v>195</v>
      </c>
      <c r="I106" s="229"/>
      <c r="J106" s="229"/>
      <c r="K106" s="229"/>
      <c r="L106" s="229"/>
      <c r="M106" s="229"/>
      <c r="N106" s="229"/>
      <c r="O106" s="229"/>
    </row>
    <row r="107" spans="2:19" ht="99" customHeight="1">
      <c r="B107" s="229"/>
      <c r="C107" s="229"/>
      <c r="D107" s="229"/>
      <c r="E107" s="229"/>
      <c r="F107" s="229"/>
      <c r="G107" s="229" t="s">
        <v>242</v>
      </c>
      <c r="H107" s="229" t="s">
        <v>196</v>
      </c>
      <c r="I107" s="229"/>
      <c r="J107" s="249" t="s">
        <v>197</v>
      </c>
      <c r="K107" s="249"/>
      <c r="L107" s="229" t="s">
        <v>198</v>
      </c>
      <c r="M107" s="229"/>
      <c r="N107" s="229" t="s">
        <v>199</v>
      </c>
      <c r="O107" s="229"/>
    </row>
    <row r="108" spans="2:19" ht="31.5">
      <c r="B108" s="229"/>
      <c r="C108" s="229"/>
      <c r="D108" s="229"/>
      <c r="E108" s="229"/>
      <c r="F108" s="229"/>
      <c r="G108" s="229"/>
      <c r="H108" s="229"/>
      <c r="I108" s="229"/>
      <c r="J108" s="249"/>
      <c r="K108" s="249"/>
      <c r="L108" s="229"/>
      <c r="M108" s="229"/>
      <c r="N108" s="178" t="s">
        <v>14</v>
      </c>
      <c r="O108" s="178" t="s">
        <v>200</v>
      </c>
    </row>
    <row r="109" spans="2:19" ht="15.75">
      <c r="B109" s="178">
        <v>1</v>
      </c>
      <c r="C109" s="178">
        <v>2</v>
      </c>
      <c r="D109" s="178">
        <v>3</v>
      </c>
      <c r="E109" s="178">
        <v>4</v>
      </c>
      <c r="F109" s="178">
        <v>5</v>
      </c>
      <c r="G109" s="178">
        <v>6</v>
      </c>
      <c r="H109" s="229">
        <v>7</v>
      </c>
      <c r="I109" s="229"/>
      <c r="J109" s="229">
        <v>8</v>
      </c>
      <c r="K109" s="229"/>
      <c r="L109" s="229">
        <v>9</v>
      </c>
      <c r="M109" s="229"/>
      <c r="N109" s="178">
        <v>10</v>
      </c>
      <c r="O109" s="178">
        <v>11</v>
      </c>
    </row>
    <row r="110" spans="2:19" ht="15.75">
      <c r="B110" s="81"/>
      <c r="C110" s="187" t="s">
        <v>201</v>
      </c>
      <c r="D110" s="82"/>
      <c r="E110" s="187"/>
      <c r="F110" s="187"/>
      <c r="G110" s="81"/>
      <c r="H110" s="264" t="s">
        <v>9</v>
      </c>
      <c r="I110" s="265"/>
      <c r="J110" s="264" t="s">
        <v>9</v>
      </c>
      <c r="K110" s="265"/>
      <c r="L110" s="264" t="s">
        <v>9</v>
      </c>
      <c r="M110" s="265"/>
      <c r="N110" s="187" t="s">
        <v>9</v>
      </c>
      <c r="O110" s="187" t="s">
        <v>9</v>
      </c>
    </row>
    <row r="111" spans="2:19" ht="15.75">
      <c r="B111" s="81"/>
      <c r="C111" s="187"/>
      <c r="D111" s="139" t="s">
        <v>23</v>
      </c>
      <c r="E111" s="189" t="s">
        <v>9</v>
      </c>
      <c r="F111" s="189" t="s">
        <v>9</v>
      </c>
      <c r="G111" s="190">
        <f>SUM(G110)</f>
        <v>0</v>
      </c>
      <c r="H111" s="263">
        <v>0</v>
      </c>
      <c r="I111" s="263"/>
      <c r="J111" s="263">
        <v>0</v>
      </c>
      <c r="K111" s="263"/>
      <c r="L111" s="263">
        <v>0</v>
      </c>
      <c r="M111" s="263"/>
      <c r="N111" s="190">
        <v>0</v>
      </c>
      <c r="O111" s="190">
        <v>0</v>
      </c>
    </row>
    <row r="112" spans="2:19" ht="15.75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</row>
    <row r="113" spans="2:18" ht="43.5" customHeight="1">
      <c r="B113" s="75"/>
      <c r="C113" s="234" t="s">
        <v>290</v>
      </c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75"/>
      <c r="O113" s="75"/>
    </row>
    <row r="114" spans="2:18" ht="17.25" customHeight="1">
      <c r="B114" s="75"/>
      <c r="C114" s="75"/>
      <c r="D114" s="75"/>
      <c r="E114" s="167"/>
      <c r="F114" s="168"/>
      <c r="G114" s="168"/>
      <c r="H114" s="168"/>
      <c r="I114" s="168"/>
      <c r="J114" s="168"/>
      <c r="K114" s="168"/>
      <c r="L114" s="168"/>
      <c r="M114" s="168"/>
      <c r="N114" s="75"/>
      <c r="O114" s="75"/>
    </row>
    <row r="115" spans="2:18" ht="63" customHeight="1">
      <c r="B115" s="229" t="s">
        <v>193</v>
      </c>
      <c r="C115" s="229" t="s">
        <v>2</v>
      </c>
      <c r="D115" s="229" t="s">
        <v>3</v>
      </c>
      <c r="E115" s="229" t="s">
        <v>219</v>
      </c>
      <c r="F115" s="229" t="s">
        <v>34</v>
      </c>
      <c r="G115" s="178" t="s">
        <v>221</v>
      </c>
      <c r="H115" s="229" t="s">
        <v>195</v>
      </c>
      <c r="I115" s="229"/>
      <c r="J115" s="229"/>
      <c r="K115" s="229"/>
      <c r="L115" s="229"/>
      <c r="M115" s="229"/>
      <c r="N115" s="229"/>
      <c r="O115" s="229"/>
    </row>
    <row r="116" spans="2:18" ht="99" customHeight="1">
      <c r="B116" s="229"/>
      <c r="C116" s="229"/>
      <c r="D116" s="229"/>
      <c r="E116" s="229"/>
      <c r="F116" s="229"/>
      <c r="G116" s="229" t="s">
        <v>242</v>
      </c>
      <c r="H116" s="229" t="s">
        <v>196</v>
      </c>
      <c r="I116" s="229"/>
      <c r="J116" s="249" t="s">
        <v>197</v>
      </c>
      <c r="K116" s="249"/>
      <c r="L116" s="229" t="s">
        <v>198</v>
      </c>
      <c r="M116" s="229"/>
      <c r="N116" s="229" t="s">
        <v>199</v>
      </c>
      <c r="O116" s="229"/>
    </row>
    <row r="117" spans="2:18" ht="31.5">
      <c r="B117" s="229"/>
      <c r="C117" s="229"/>
      <c r="D117" s="229"/>
      <c r="E117" s="229"/>
      <c r="F117" s="229"/>
      <c r="G117" s="229"/>
      <c r="H117" s="229"/>
      <c r="I117" s="229"/>
      <c r="J117" s="249"/>
      <c r="K117" s="249"/>
      <c r="L117" s="229"/>
      <c r="M117" s="229"/>
      <c r="N117" s="178" t="s">
        <v>14</v>
      </c>
      <c r="O117" s="178" t="s">
        <v>200</v>
      </c>
    </row>
    <row r="118" spans="2:18" ht="15.75">
      <c r="B118" s="178">
        <v>1</v>
      </c>
      <c r="C118" s="178">
        <v>2</v>
      </c>
      <c r="D118" s="178">
        <v>3</v>
      </c>
      <c r="E118" s="178">
        <v>4</v>
      </c>
      <c r="F118" s="178">
        <v>5</v>
      </c>
      <c r="G118" s="178">
        <v>6</v>
      </c>
      <c r="H118" s="229">
        <v>7</v>
      </c>
      <c r="I118" s="229"/>
      <c r="J118" s="229">
        <v>8</v>
      </c>
      <c r="K118" s="229"/>
      <c r="L118" s="229">
        <v>9</v>
      </c>
      <c r="M118" s="229"/>
      <c r="N118" s="178">
        <v>10</v>
      </c>
      <c r="O118" s="178">
        <v>11</v>
      </c>
    </row>
    <row r="119" spans="2:18" ht="18" customHeight="1">
      <c r="B119" s="81"/>
      <c r="C119" s="164" t="s">
        <v>201</v>
      </c>
      <c r="D119" s="81"/>
      <c r="E119" s="82"/>
      <c r="F119" s="82"/>
      <c r="G119" s="82"/>
      <c r="H119" s="262" t="s">
        <v>9</v>
      </c>
      <c r="I119" s="262"/>
      <c r="J119" s="262" t="s">
        <v>9</v>
      </c>
      <c r="K119" s="262"/>
      <c r="L119" s="262" t="s">
        <v>9</v>
      </c>
      <c r="M119" s="262"/>
      <c r="N119" s="187" t="s">
        <v>9</v>
      </c>
      <c r="O119" s="187" t="s">
        <v>9</v>
      </c>
    </row>
    <row r="120" spans="2:18" ht="15.75">
      <c r="B120" s="81"/>
      <c r="C120" s="187"/>
      <c r="D120" s="139" t="s">
        <v>23</v>
      </c>
      <c r="E120" s="189" t="s">
        <v>9</v>
      </c>
      <c r="F120" s="189" t="s">
        <v>9</v>
      </c>
      <c r="G120" s="190">
        <f>SUM(G119)</f>
        <v>0</v>
      </c>
      <c r="H120" s="263">
        <v>0</v>
      </c>
      <c r="I120" s="263"/>
      <c r="J120" s="263">
        <v>0</v>
      </c>
      <c r="K120" s="263"/>
      <c r="L120" s="263">
        <v>0</v>
      </c>
      <c r="M120" s="263"/>
      <c r="N120" s="190">
        <v>0</v>
      </c>
      <c r="O120" s="190">
        <v>0</v>
      </c>
    </row>
    <row r="121" spans="2:18" ht="33" customHeight="1">
      <c r="B121" s="75"/>
      <c r="C121" s="75"/>
      <c r="D121" s="75"/>
      <c r="E121" s="260" t="s">
        <v>291</v>
      </c>
      <c r="F121" s="261"/>
      <c r="G121" s="261"/>
      <c r="H121" s="261"/>
      <c r="I121" s="261"/>
      <c r="J121" s="261"/>
      <c r="K121" s="261"/>
      <c r="L121" s="261"/>
      <c r="M121" s="261"/>
      <c r="N121" s="75"/>
      <c r="O121" s="75"/>
      <c r="P121" s="75"/>
    </row>
    <row r="122" spans="2:18" ht="15.75" customHeight="1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</row>
    <row r="123" spans="2:18" ht="15.75">
      <c r="B123" s="75"/>
      <c r="C123" s="75"/>
      <c r="D123" s="75"/>
      <c r="E123" s="261" t="s">
        <v>292</v>
      </c>
      <c r="F123" s="261"/>
      <c r="G123" s="261"/>
      <c r="H123" s="261"/>
      <c r="I123" s="261"/>
      <c r="J123" s="261"/>
      <c r="K123" s="261"/>
      <c r="L123" s="261"/>
      <c r="M123" s="261"/>
      <c r="N123" s="75"/>
      <c r="O123" s="75"/>
      <c r="P123" s="75"/>
    </row>
    <row r="124" spans="2:18" ht="15.75" customHeight="1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</row>
    <row r="125" spans="2:18" ht="31.5" customHeight="1">
      <c r="B125" s="229" t="s">
        <v>193</v>
      </c>
      <c r="C125" s="229" t="s">
        <v>2</v>
      </c>
      <c r="D125" s="229" t="s">
        <v>24</v>
      </c>
      <c r="E125" s="229" t="s">
        <v>228</v>
      </c>
      <c r="F125" s="229" t="s">
        <v>229</v>
      </c>
      <c r="G125" s="229" t="s">
        <v>230</v>
      </c>
      <c r="H125" s="178" t="s">
        <v>210</v>
      </c>
      <c r="I125" s="229" t="s">
        <v>195</v>
      </c>
      <c r="J125" s="229"/>
      <c r="K125" s="229"/>
      <c r="L125" s="229"/>
      <c r="M125" s="229"/>
      <c r="N125" s="229"/>
      <c r="O125" s="229"/>
      <c r="P125" s="134"/>
      <c r="Q125" s="134"/>
      <c r="R125" s="134"/>
    </row>
    <row r="126" spans="2:18" ht="93.75" customHeight="1">
      <c r="B126" s="229"/>
      <c r="C126" s="229"/>
      <c r="D126" s="229"/>
      <c r="E126" s="229"/>
      <c r="F126" s="229"/>
      <c r="G126" s="229"/>
      <c r="H126" s="229" t="s">
        <v>247</v>
      </c>
      <c r="I126" s="229" t="s">
        <v>196</v>
      </c>
      <c r="J126" s="229"/>
      <c r="K126" s="249" t="s">
        <v>197</v>
      </c>
      <c r="L126" s="249"/>
      <c r="M126" s="250" t="s">
        <v>198</v>
      </c>
      <c r="N126" s="250" t="s">
        <v>199</v>
      </c>
      <c r="O126" s="250"/>
      <c r="P126" s="173"/>
      <c r="Q126" s="134"/>
      <c r="R126" s="134"/>
    </row>
    <row r="127" spans="2:18" ht="39" customHeight="1">
      <c r="B127" s="229"/>
      <c r="C127" s="229"/>
      <c r="D127" s="229"/>
      <c r="E127" s="229"/>
      <c r="F127" s="229"/>
      <c r="G127" s="229"/>
      <c r="H127" s="229"/>
      <c r="I127" s="229"/>
      <c r="J127" s="229"/>
      <c r="K127" s="249"/>
      <c r="L127" s="249"/>
      <c r="M127" s="250"/>
      <c r="N127" s="172" t="s">
        <v>14</v>
      </c>
      <c r="O127" s="172" t="s">
        <v>200</v>
      </c>
      <c r="P127" s="173"/>
      <c r="Q127" s="177"/>
      <c r="R127" s="177"/>
    </row>
    <row r="128" spans="2:18" ht="15.75" customHeight="1">
      <c r="B128" s="178">
        <v>1</v>
      </c>
      <c r="C128" s="178">
        <v>2</v>
      </c>
      <c r="D128" s="178">
        <v>3</v>
      </c>
      <c r="E128" s="178">
        <v>4</v>
      </c>
      <c r="F128" s="178">
        <v>5</v>
      </c>
      <c r="G128" s="178">
        <v>6</v>
      </c>
      <c r="H128" s="178">
        <v>7</v>
      </c>
      <c r="I128" s="229">
        <v>8</v>
      </c>
      <c r="J128" s="229"/>
      <c r="K128" s="229">
        <v>9</v>
      </c>
      <c r="L128" s="229"/>
      <c r="M128" s="172">
        <v>10</v>
      </c>
      <c r="N128" s="172">
        <v>11</v>
      </c>
      <c r="O128" s="172">
        <v>12</v>
      </c>
      <c r="P128" s="177"/>
      <c r="Q128" s="177"/>
      <c r="R128" s="177"/>
    </row>
    <row r="129" spans="2:18" ht="31.5">
      <c r="B129" s="164">
        <v>244</v>
      </c>
      <c r="C129" s="164" t="s">
        <v>201</v>
      </c>
      <c r="D129" s="82" t="s">
        <v>245</v>
      </c>
      <c r="E129" s="164">
        <v>1</v>
      </c>
      <c r="F129" s="164">
        <v>12</v>
      </c>
      <c r="G129" s="164">
        <f>ROUND((H129/E129/F129),1)</f>
        <v>610.4</v>
      </c>
      <c r="H129" s="72">
        <v>7324.63</v>
      </c>
      <c r="I129" s="224" t="s">
        <v>9</v>
      </c>
      <c r="J129" s="224"/>
      <c r="K129" s="224" t="s">
        <v>9</v>
      </c>
      <c r="L129" s="224"/>
      <c r="M129" s="170" t="s">
        <v>9</v>
      </c>
      <c r="N129" s="170" t="s">
        <v>9</v>
      </c>
      <c r="O129" s="170" t="s">
        <v>9</v>
      </c>
      <c r="P129" s="148"/>
      <c r="Q129" s="148"/>
      <c r="R129" s="148"/>
    </row>
    <row r="130" spans="2:18" ht="82.5" customHeight="1">
      <c r="B130" s="164">
        <v>244</v>
      </c>
      <c r="C130" s="164" t="s">
        <v>179</v>
      </c>
      <c r="D130" s="82" t="s">
        <v>246</v>
      </c>
      <c r="E130" s="164">
        <v>1</v>
      </c>
      <c r="F130" s="164">
        <v>12</v>
      </c>
      <c r="G130" s="164">
        <f>ROUND((H130/E130/F130),1)</f>
        <v>0</v>
      </c>
      <c r="H130" s="72">
        <v>0</v>
      </c>
      <c r="I130" s="224" t="s">
        <v>9</v>
      </c>
      <c r="J130" s="224"/>
      <c r="K130" s="224" t="s">
        <v>9</v>
      </c>
      <c r="L130" s="224"/>
      <c r="M130" s="170" t="s">
        <v>9</v>
      </c>
      <c r="N130" s="170" t="s">
        <v>9</v>
      </c>
      <c r="O130" s="170" t="s">
        <v>9</v>
      </c>
      <c r="P130" s="148"/>
      <c r="Q130" s="148"/>
      <c r="R130" s="148"/>
    </row>
    <row r="131" spans="2:18" s="149" customFormat="1" ht="15.75">
      <c r="B131" s="144"/>
      <c r="C131" s="182"/>
      <c r="D131" s="139" t="s">
        <v>23</v>
      </c>
      <c r="E131" s="182" t="s">
        <v>9</v>
      </c>
      <c r="F131" s="182" t="s">
        <v>9</v>
      </c>
      <c r="G131" s="182" t="s">
        <v>9</v>
      </c>
      <c r="H131" s="192">
        <f>SUM(H129:H130)</f>
        <v>7324.63</v>
      </c>
      <c r="I131" s="235">
        <f>H131</f>
        <v>7324.63</v>
      </c>
      <c r="J131" s="258"/>
      <c r="K131" s="235">
        <v>0</v>
      </c>
      <c r="L131" s="235"/>
      <c r="M131" s="179">
        <v>0</v>
      </c>
      <c r="N131" s="179">
        <v>0</v>
      </c>
      <c r="O131" s="179">
        <v>0</v>
      </c>
      <c r="P131" s="83"/>
      <c r="Q131" s="83" t="s">
        <v>303</v>
      </c>
      <c r="R131" s="83"/>
    </row>
    <row r="132" spans="2:18" ht="15" customHeight="1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</row>
    <row r="133" spans="2:18" ht="23.25" customHeight="1">
      <c r="B133" s="75"/>
      <c r="C133" s="75"/>
      <c r="D133" s="75"/>
      <c r="E133" s="234" t="s">
        <v>293</v>
      </c>
      <c r="F133" s="259"/>
      <c r="G133" s="259"/>
      <c r="H133" s="259"/>
      <c r="I133" s="259"/>
      <c r="J133" s="259"/>
      <c r="K133" s="259"/>
      <c r="L133" s="259"/>
      <c r="M133" s="259"/>
      <c r="N133" s="75"/>
      <c r="O133" s="75"/>
      <c r="P133" s="75"/>
    </row>
    <row r="134" spans="2:18" ht="15.75" customHeight="1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</row>
    <row r="135" spans="2:18" ht="31.5" customHeight="1">
      <c r="B135" s="229" t="s">
        <v>193</v>
      </c>
      <c r="C135" s="229" t="s">
        <v>2</v>
      </c>
      <c r="D135" s="229" t="s">
        <v>24</v>
      </c>
      <c r="E135" s="229" t="s">
        <v>35</v>
      </c>
      <c r="F135" s="229" t="s">
        <v>232</v>
      </c>
      <c r="G135" s="178" t="s">
        <v>210</v>
      </c>
      <c r="H135" s="229" t="s">
        <v>195</v>
      </c>
      <c r="I135" s="229"/>
      <c r="J135" s="229"/>
      <c r="K135" s="229"/>
      <c r="L135" s="229"/>
      <c r="M135" s="229"/>
      <c r="N135" s="229"/>
      <c r="O135" s="134"/>
      <c r="P135" s="134"/>
    </row>
    <row r="136" spans="2:18" ht="87.75" customHeight="1">
      <c r="B136" s="229"/>
      <c r="C136" s="229"/>
      <c r="D136" s="229"/>
      <c r="E136" s="229"/>
      <c r="F136" s="229"/>
      <c r="G136" s="229" t="s">
        <v>242</v>
      </c>
      <c r="H136" s="229" t="s">
        <v>196</v>
      </c>
      <c r="I136" s="229"/>
      <c r="J136" s="249" t="s">
        <v>197</v>
      </c>
      <c r="K136" s="249"/>
      <c r="L136" s="250" t="s">
        <v>198</v>
      </c>
      <c r="M136" s="250" t="s">
        <v>199</v>
      </c>
      <c r="N136" s="250"/>
      <c r="O136" s="134"/>
      <c r="P136" s="177"/>
    </row>
    <row r="137" spans="2:18" ht="36" customHeight="1">
      <c r="B137" s="229"/>
      <c r="C137" s="229"/>
      <c r="D137" s="229"/>
      <c r="E137" s="229"/>
      <c r="F137" s="229"/>
      <c r="G137" s="229"/>
      <c r="H137" s="229"/>
      <c r="I137" s="229"/>
      <c r="J137" s="249"/>
      <c r="K137" s="249"/>
      <c r="L137" s="250"/>
      <c r="M137" s="172" t="s">
        <v>14</v>
      </c>
      <c r="N137" s="172" t="s">
        <v>200</v>
      </c>
      <c r="O137" s="177"/>
      <c r="P137" s="177"/>
    </row>
    <row r="138" spans="2:18" ht="15.75" customHeight="1">
      <c r="B138" s="178">
        <v>1</v>
      </c>
      <c r="C138" s="178">
        <v>2</v>
      </c>
      <c r="D138" s="178">
        <v>3</v>
      </c>
      <c r="E138" s="178">
        <v>4</v>
      </c>
      <c r="F138" s="178">
        <v>5</v>
      </c>
      <c r="G138" s="178">
        <v>6</v>
      </c>
      <c r="H138" s="229">
        <v>7</v>
      </c>
      <c r="I138" s="229"/>
      <c r="J138" s="229">
        <v>8</v>
      </c>
      <c r="K138" s="229"/>
      <c r="L138" s="172">
        <v>9</v>
      </c>
      <c r="M138" s="172">
        <v>10</v>
      </c>
      <c r="N138" s="172">
        <v>11</v>
      </c>
      <c r="O138" s="177"/>
      <c r="P138" s="177"/>
    </row>
    <row r="139" spans="2:18" ht="15.75">
      <c r="B139" s="164"/>
      <c r="C139" s="164"/>
      <c r="D139" s="82"/>
      <c r="E139" s="165"/>
      <c r="F139" s="165"/>
      <c r="G139" s="165"/>
      <c r="H139" s="257" t="s">
        <v>9</v>
      </c>
      <c r="I139" s="257"/>
      <c r="J139" s="257" t="s">
        <v>9</v>
      </c>
      <c r="K139" s="257"/>
      <c r="L139" s="170" t="s">
        <v>9</v>
      </c>
      <c r="M139" s="170" t="s">
        <v>9</v>
      </c>
      <c r="N139" s="170" t="s">
        <v>9</v>
      </c>
      <c r="O139" s="150"/>
      <c r="P139" s="150"/>
    </row>
    <row r="140" spans="2:18" s="149" customFormat="1" ht="15.75" customHeight="1">
      <c r="B140" s="145"/>
      <c r="C140" s="145"/>
      <c r="D140" s="139" t="s">
        <v>23</v>
      </c>
      <c r="E140" s="166" t="s">
        <v>9</v>
      </c>
      <c r="F140" s="166" t="s">
        <v>9</v>
      </c>
      <c r="G140" s="166"/>
      <c r="H140" s="235"/>
      <c r="I140" s="235"/>
      <c r="J140" s="235"/>
      <c r="K140" s="235"/>
      <c r="L140" s="180"/>
      <c r="M140" s="180"/>
      <c r="N140" s="180"/>
      <c r="O140" s="83"/>
      <c r="P140" s="83"/>
      <c r="Q140" s="83" t="s">
        <v>306</v>
      </c>
      <c r="R140" s="83"/>
    </row>
    <row r="141" spans="2:18" ht="15.75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</row>
    <row r="142" spans="2:18" ht="33" customHeight="1">
      <c r="B142" s="75"/>
      <c r="C142" s="75"/>
      <c r="D142" s="75"/>
      <c r="E142" s="234" t="s">
        <v>294</v>
      </c>
      <c r="F142" s="259"/>
      <c r="G142" s="259"/>
      <c r="H142" s="259"/>
      <c r="I142" s="259"/>
      <c r="J142" s="259"/>
      <c r="K142" s="259"/>
      <c r="L142" s="259"/>
      <c r="M142" s="259"/>
      <c r="N142" s="75"/>
      <c r="O142" s="75"/>
      <c r="P142" s="75"/>
    </row>
    <row r="143" spans="2:18" ht="15.75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107"/>
      <c r="R143" s="107"/>
    </row>
    <row r="144" spans="2:18" ht="31.5" customHeight="1">
      <c r="B144" s="229" t="s">
        <v>193</v>
      </c>
      <c r="C144" s="229" t="s">
        <v>2</v>
      </c>
      <c r="D144" s="239" t="s">
        <v>3</v>
      </c>
      <c r="E144" s="240"/>
      <c r="F144" s="229" t="s">
        <v>36</v>
      </c>
      <c r="G144" s="229" t="s">
        <v>233</v>
      </c>
      <c r="H144" s="229" t="s">
        <v>234</v>
      </c>
      <c r="I144" s="178" t="s">
        <v>210</v>
      </c>
      <c r="J144" s="229" t="s">
        <v>195</v>
      </c>
      <c r="K144" s="229"/>
      <c r="L144" s="229"/>
      <c r="M144" s="229"/>
      <c r="N144" s="229"/>
      <c r="O144" s="229"/>
      <c r="P144" s="229"/>
      <c r="Q144" s="134"/>
      <c r="R144" s="134"/>
    </row>
    <row r="145" spans="2:18" ht="96.75" customHeight="1">
      <c r="B145" s="229"/>
      <c r="C145" s="229"/>
      <c r="D145" s="247"/>
      <c r="E145" s="248"/>
      <c r="F145" s="229"/>
      <c r="G145" s="229"/>
      <c r="H145" s="229"/>
      <c r="I145" s="229" t="s">
        <v>267</v>
      </c>
      <c r="J145" s="229" t="s">
        <v>196</v>
      </c>
      <c r="K145" s="229"/>
      <c r="L145" s="249" t="s">
        <v>197</v>
      </c>
      <c r="M145" s="249"/>
      <c r="N145" s="250" t="s">
        <v>198</v>
      </c>
      <c r="O145" s="250" t="s">
        <v>199</v>
      </c>
      <c r="P145" s="250"/>
      <c r="Q145" s="134"/>
      <c r="R145" s="134"/>
    </row>
    <row r="146" spans="2:18" ht="31.5" customHeight="1">
      <c r="B146" s="229"/>
      <c r="C146" s="229"/>
      <c r="D146" s="241"/>
      <c r="E146" s="242"/>
      <c r="F146" s="229"/>
      <c r="G146" s="229"/>
      <c r="H146" s="229"/>
      <c r="I146" s="229"/>
      <c r="J146" s="229"/>
      <c r="K146" s="229"/>
      <c r="L146" s="249"/>
      <c r="M146" s="249"/>
      <c r="N146" s="250"/>
      <c r="O146" s="172" t="s">
        <v>14</v>
      </c>
      <c r="P146" s="172" t="s">
        <v>200</v>
      </c>
      <c r="Q146" s="177"/>
      <c r="R146" s="177"/>
    </row>
    <row r="147" spans="2:18" ht="15.75">
      <c r="B147" s="178">
        <v>1</v>
      </c>
      <c r="C147" s="178">
        <v>2</v>
      </c>
      <c r="D147" s="227">
        <v>3</v>
      </c>
      <c r="E147" s="228"/>
      <c r="F147" s="178">
        <v>4</v>
      </c>
      <c r="G147" s="178">
        <v>5</v>
      </c>
      <c r="H147" s="178">
        <v>6</v>
      </c>
      <c r="I147" s="178">
        <v>7</v>
      </c>
      <c r="J147" s="229">
        <v>8</v>
      </c>
      <c r="K147" s="229"/>
      <c r="L147" s="229">
        <v>9</v>
      </c>
      <c r="M147" s="229"/>
      <c r="N147" s="178">
        <v>10</v>
      </c>
      <c r="O147" s="178">
        <v>11</v>
      </c>
      <c r="P147" s="178">
        <v>12</v>
      </c>
      <c r="Q147" s="177"/>
      <c r="R147" s="177"/>
    </row>
    <row r="148" spans="2:18" ht="24" customHeight="1">
      <c r="B148" s="164">
        <v>247</v>
      </c>
      <c r="C148" s="164" t="s">
        <v>201</v>
      </c>
      <c r="D148" s="222" t="s">
        <v>262</v>
      </c>
      <c r="E148" s="223"/>
      <c r="F148" s="164">
        <v>48600.2</v>
      </c>
      <c r="G148" s="164">
        <f>ROUND((I148/F148/1.038),2)</f>
        <v>7.34</v>
      </c>
      <c r="H148" s="164">
        <v>3.8</v>
      </c>
      <c r="I148" s="165">
        <v>370448.17</v>
      </c>
      <c r="J148" s="224" t="s">
        <v>9</v>
      </c>
      <c r="K148" s="224"/>
      <c r="L148" s="224" t="s">
        <v>9</v>
      </c>
      <c r="M148" s="224"/>
      <c r="N148" s="164" t="s">
        <v>9</v>
      </c>
      <c r="O148" s="164" t="s">
        <v>9</v>
      </c>
      <c r="P148" s="164" t="s">
        <v>9</v>
      </c>
      <c r="Q148" s="138"/>
      <c r="R148" s="138"/>
    </row>
    <row r="149" spans="2:18" ht="33" customHeight="1">
      <c r="B149" s="164">
        <v>247</v>
      </c>
      <c r="C149" s="164" t="s">
        <v>179</v>
      </c>
      <c r="D149" s="222" t="s">
        <v>263</v>
      </c>
      <c r="E149" s="223"/>
      <c r="F149" s="164">
        <v>535.66600000000005</v>
      </c>
      <c r="G149" s="164">
        <f t="shared" ref="G149:G152" si="4">ROUND((I149/F149/1.038),2)</f>
        <v>4062.69</v>
      </c>
      <c r="H149" s="164">
        <v>3.8</v>
      </c>
      <c r="I149" s="165">
        <v>2258940.63</v>
      </c>
      <c r="J149" s="224" t="s">
        <v>9</v>
      </c>
      <c r="K149" s="224"/>
      <c r="L149" s="224" t="s">
        <v>9</v>
      </c>
      <c r="M149" s="224"/>
      <c r="N149" s="164" t="s">
        <v>9</v>
      </c>
      <c r="O149" s="164" t="s">
        <v>9</v>
      </c>
      <c r="P149" s="164" t="s">
        <v>9</v>
      </c>
      <c r="Q149" s="138"/>
      <c r="R149" s="138"/>
    </row>
    <row r="150" spans="2:18" ht="21.75" customHeight="1">
      <c r="B150" s="164">
        <v>244</v>
      </c>
      <c r="C150" s="164" t="s">
        <v>184</v>
      </c>
      <c r="D150" s="222" t="s">
        <v>273</v>
      </c>
      <c r="E150" s="223"/>
      <c r="F150" s="165">
        <v>448</v>
      </c>
      <c r="G150" s="164">
        <f t="shared" si="4"/>
        <v>56.31</v>
      </c>
      <c r="H150" s="164">
        <v>3.8</v>
      </c>
      <c r="I150" s="164">
        <v>26187.52</v>
      </c>
      <c r="J150" s="224" t="s">
        <v>9</v>
      </c>
      <c r="K150" s="224"/>
      <c r="L150" s="224" t="s">
        <v>9</v>
      </c>
      <c r="M150" s="224"/>
      <c r="N150" s="164" t="s">
        <v>9</v>
      </c>
      <c r="O150" s="164" t="s">
        <v>9</v>
      </c>
      <c r="P150" s="164" t="s">
        <v>9</v>
      </c>
      <c r="Q150" s="138"/>
      <c r="R150" s="138"/>
    </row>
    <row r="151" spans="2:18" ht="75.75" customHeight="1">
      <c r="B151" s="164"/>
      <c r="C151" s="164"/>
      <c r="D151" s="222" t="s">
        <v>418</v>
      </c>
      <c r="E151" s="223"/>
      <c r="F151" s="164">
        <v>1107.2</v>
      </c>
      <c r="G151" s="164">
        <f t="shared" si="4"/>
        <v>1</v>
      </c>
      <c r="H151" s="164">
        <v>3.8</v>
      </c>
      <c r="I151" s="72">
        <v>1143.9000000000001</v>
      </c>
      <c r="J151" s="224" t="s">
        <v>9</v>
      </c>
      <c r="K151" s="224"/>
      <c r="L151" s="224" t="s">
        <v>9</v>
      </c>
      <c r="M151" s="224"/>
      <c r="N151" s="164" t="s">
        <v>9</v>
      </c>
      <c r="O151" s="164" t="s">
        <v>9</v>
      </c>
      <c r="P151" s="164" t="s">
        <v>9</v>
      </c>
      <c r="Q151" s="138"/>
      <c r="R151" s="138"/>
    </row>
    <row r="152" spans="2:18" ht="35.25" customHeight="1">
      <c r="B152" s="164">
        <v>244</v>
      </c>
      <c r="C152" s="164" t="s">
        <v>204</v>
      </c>
      <c r="D152" s="222" t="s">
        <v>264</v>
      </c>
      <c r="E152" s="223"/>
      <c r="F152" s="164">
        <v>448</v>
      </c>
      <c r="G152" s="164">
        <f t="shared" si="4"/>
        <v>31.18</v>
      </c>
      <c r="H152" s="164">
        <v>3.8</v>
      </c>
      <c r="I152" s="164">
        <v>14501.58</v>
      </c>
      <c r="J152" s="224" t="s">
        <v>9</v>
      </c>
      <c r="K152" s="224"/>
      <c r="L152" s="224" t="s">
        <v>9</v>
      </c>
      <c r="M152" s="224"/>
      <c r="N152" s="164" t="s">
        <v>9</v>
      </c>
      <c r="O152" s="164" t="s">
        <v>9</v>
      </c>
      <c r="P152" s="164" t="s">
        <v>9</v>
      </c>
      <c r="Q152" s="138"/>
      <c r="R152" s="138"/>
    </row>
    <row r="153" spans="2:18" ht="19.5" customHeight="1">
      <c r="B153" s="164">
        <v>244</v>
      </c>
      <c r="C153" s="164" t="s">
        <v>231</v>
      </c>
      <c r="D153" s="222" t="s">
        <v>264</v>
      </c>
      <c r="E153" s="223"/>
      <c r="F153" s="165">
        <f>4.5*12</f>
        <v>54</v>
      </c>
      <c r="G153" s="164">
        <f>ROUND((I153/F153/1.038),2)</f>
        <v>0</v>
      </c>
      <c r="H153" s="164">
        <v>3.8</v>
      </c>
      <c r="I153" s="165">
        <v>0</v>
      </c>
      <c r="J153" s="224" t="s">
        <v>9</v>
      </c>
      <c r="K153" s="224"/>
      <c r="L153" s="224" t="s">
        <v>9</v>
      </c>
      <c r="M153" s="224"/>
      <c r="N153" s="164" t="s">
        <v>9</v>
      </c>
      <c r="O153" s="164" t="s">
        <v>9</v>
      </c>
      <c r="P153" s="164" t="s">
        <v>9</v>
      </c>
      <c r="Q153" s="83" t="s">
        <v>307</v>
      </c>
      <c r="R153" s="83"/>
    </row>
    <row r="154" spans="2:18" ht="15.75">
      <c r="B154" s="144"/>
      <c r="C154" s="230" t="s">
        <v>23</v>
      </c>
      <c r="D154" s="231"/>
      <c r="E154" s="232"/>
      <c r="F154" s="182" t="s">
        <v>9</v>
      </c>
      <c r="G154" s="182" t="s">
        <v>9</v>
      </c>
      <c r="H154" s="182" t="s">
        <v>9</v>
      </c>
      <c r="I154" s="166">
        <f>SUM(I148:I153)</f>
        <v>2671221.7999999998</v>
      </c>
      <c r="J154" s="235">
        <f>I154</f>
        <v>2671221.7999999998</v>
      </c>
      <c r="K154" s="258"/>
      <c r="L154" s="235">
        <v>0</v>
      </c>
      <c r="M154" s="235"/>
      <c r="N154" s="166">
        <v>0</v>
      </c>
      <c r="O154" s="166">
        <v>0</v>
      </c>
      <c r="P154" s="166">
        <v>0</v>
      </c>
      <c r="Q154" s="134"/>
      <c r="R154" s="134"/>
    </row>
    <row r="155" spans="2:18" ht="15.75" customHeight="1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107"/>
      <c r="R155" s="107"/>
    </row>
    <row r="156" spans="2:18" ht="23.25" customHeight="1">
      <c r="B156" s="75"/>
      <c r="C156" s="234" t="s">
        <v>295</v>
      </c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75"/>
      <c r="O156" s="75"/>
      <c r="P156" s="75"/>
    </row>
    <row r="157" spans="2:18" ht="15.75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</row>
    <row r="158" spans="2:18" ht="31.5" customHeight="1">
      <c r="B158" s="229" t="s">
        <v>193</v>
      </c>
      <c r="C158" s="229" t="s">
        <v>2</v>
      </c>
      <c r="D158" s="229" t="s">
        <v>24</v>
      </c>
      <c r="E158" s="229" t="s">
        <v>235</v>
      </c>
      <c r="F158" s="229" t="s">
        <v>236</v>
      </c>
      <c r="G158" s="178" t="s">
        <v>237</v>
      </c>
      <c r="H158" s="229" t="s">
        <v>195</v>
      </c>
      <c r="I158" s="229"/>
      <c r="J158" s="229"/>
      <c r="K158" s="229"/>
      <c r="L158" s="229"/>
      <c r="M158" s="229"/>
      <c r="N158" s="229"/>
      <c r="O158" s="134"/>
      <c r="P158" s="134"/>
    </row>
    <row r="159" spans="2:18" ht="85.5" customHeight="1">
      <c r="B159" s="229"/>
      <c r="C159" s="229"/>
      <c r="D159" s="229"/>
      <c r="E159" s="229"/>
      <c r="F159" s="229"/>
      <c r="G159" s="237" t="s">
        <v>242</v>
      </c>
      <c r="H159" s="229" t="s">
        <v>196</v>
      </c>
      <c r="I159" s="229"/>
      <c r="J159" s="249" t="s">
        <v>197</v>
      </c>
      <c r="K159" s="249"/>
      <c r="L159" s="250" t="s">
        <v>198</v>
      </c>
      <c r="M159" s="250" t="s">
        <v>199</v>
      </c>
      <c r="N159" s="250"/>
      <c r="O159" s="134"/>
      <c r="P159" s="177"/>
    </row>
    <row r="160" spans="2:18" ht="35.25" customHeight="1">
      <c r="B160" s="229"/>
      <c r="C160" s="229"/>
      <c r="D160" s="229"/>
      <c r="E160" s="229"/>
      <c r="F160" s="229"/>
      <c r="G160" s="238"/>
      <c r="H160" s="229"/>
      <c r="I160" s="229"/>
      <c r="J160" s="249"/>
      <c r="K160" s="249"/>
      <c r="L160" s="250"/>
      <c r="M160" s="172" t="s">
        <v>14</v>
      </c>
      <c r="N160" s="172" t="s">
        <v>200</v>
      </c>
      <c r="O160" s="177"/>
      <c r="P160" s="177"/>
    </row>
    <row r="161" spans="2:20" ht="15.75">
      <c r="B161" s="178">
        <v>1</v>
      </c>
      <c r="C161" s="178">
        <v>2</v>
      </c>
      <c r="D161" s="178">
        <v>3</v>
      </c>
      <c r="E161" s="178">
        <v>4</v>
      </c>
      <c r="F161" s="178">
        <v>5</v>
      </c>
      <c r="G161" s="178">
        <v>6</v>
      </c>
      <c r="H161" s="229">
        <v>7</v>
      </c>
      <c r="I161" s="229"/>
      <c r="J161" s="229">
        <v>8</v>
      </c>
      <c r="K161" s="229"/>
      <c r="L161" s="178">
        <v>9</v>
      </c>
      <c r="M161" s="178">
        <v>10</v>
      </c>
      <c r="N161" s="178">
        <v>11</v>
      </c>
      <c r="O161" s="177"/>
      <c r="P161" s="177"/>
    </row>
    <row r="162" spans="2:20" ht="31.5">
      <c r="B162" s="164">
        <v>244</v>
      </c>
      <c r="C162" s="164">
        <v>1</v>
      </c>
      <c r="D162" s="151" t="s">
        <v>371</v>
      </c>
      <c r="E162" s="178">
        <v>1</v>
      </c>
      <c r="F162" s="106">
        <f>9300-3968.64-1481.76</f>
        <v>3849.6000000000004</v>
      </c>
      <c r="G162" s="106">
        <f>E162*F162</f>
        <v>3849.6000000000004</v>
      </c>
      <c r="H162" s="229" t="s">
        <v>9</v>
      </c>
      <c r="I162" s="229"/>
      <c r="J162" s="229" t="s">
        <v>9</v>
      </c>
      <c r="K162" s="229"/>
      <c r="L162" s="178" t="s">
        <v>9</v>
      </c>
      <c r="M162" s="178" t="s">
        <v>9</v>
      </c>
      <c r="N162" s="178" t="s">
        <v>9</v>
      </c>
      <c r="O162" s="138"/>
      <c r="P162" s="138"/>
      <c r="Q162" s="83" t="s">
        <v>308</v>
      </c>
      <c r="R162" s="83"/>
      <c r="S162" s="108" t="s">
        <v>304</v>
      </c>
      <c r="T162" s="88">
        <v>50431.96</v>
      </c>
    </row>
    <row r="163" spans="2:20" ht="36.75" customHeight="1">
      <c r="B163" s="164">
        <v>244</v>
      </c>
      <c r="C163" s="164">
        <v>2</v>
      </c>
      <c r="D163" s="151" t="s">
        <v>312</v>
      </c>
      <c r="E163" s="178">
        <v>1</v>
      </c>
      <c r="F163" s="178">
        <v>1000</v>
      </c>
      <c r="G163" s="106">
        <f t="shared" ref="G163:G171" si="5">E163*F163</f>
        <v>1000</v>
      </c>
      <c r="H163" s="229" t="s">
        <v>9</v>
      </c>
      <c r="I163" s="229"/>
      <c r="J163" s="229" t="s">
        <v>9</v>
      </c>
      <c r="K163" s="229"/>
      <c r="L163" s="178" t="s">
        <v>9</v>
      </c>
      <c r="M163" s="178" t="s">
        <v>9</v>
      </c>
      <c r="N163" s="178" t="s">
        <v>9</v>
      </c>
      <c r="O163" s="138"/>
      <c r="P163" s="138"/>
      <c r="S163" s="108" t="s">
        <v>298</v>
      </c>
      <c r="T163" s="108">
        <v>0</v>
      </c>
    </row>
    <row r="164" spans="2:20" ht="37.9" customHeight="1">
      <c r="B164" s="164">
        <v>244</v>
      </c>
      <c r="C164" s="164">
        <v>3</v>
      </c>
      <c r="D164" s="151" t="s">
        <v>274</v>
      </c>
      <c r="E164" s="178">
        <v>1</v>
      </c>
      <c r="F164" s="178">
        <f>4200-1440-350</f>
        <v>2410</v>
      </c>
      <c r="G164" s="106">
        <f t="shared" si="5"/>
        <v>2410</v>
      </c>
      <c r="H164" s="229" t="s">
        <v>9</v>
      </c>
      <c r="I164" s="229"/>
      <c r="J164" s="229" t="s">
        <v>9</v>
      </c>
      <c r="K164" s="229"/>
      <c r="L164" s="178" t="s">
        <v>9</v>
      </c>
      <c r="M164" s="178" t="s">
        <v>9</v>
      </c>
      <c r="N164" s="178" t="s">
        <v>9</v>
      </c>
      <c r="O164" s="138"/>
      <c r="P164" s="138"/>
      <c r="S164" s="108" t="s">
        <v>313</v>
      </c>
      <c r="T164" s="84">
        <v>324794.26</v>
      </c>
    </row>
    <row r="165" spans="2:20" ht="79.150000000000006" customHeight="1">
      <c r="B165" s="164">
        <v>244</v>
      </c>
      <c r="C165" s="164">
        <v>4</v>
      </c>
      <c r="D165" s="151" t="s">
        <v>396</v>
      </c>
      <c r="E165" s="178">
        <v>1</v>
      </c>
      <c r="F165" s="106">
        <v>0</v>
      </c>
      <c r="G165" s="106">
        <f t="shared" si="5"/>
        <v>0</v>
      </c>
      <c r="H165" s="229" t="s">
        <v>9</v>
      </c>
      <c r="I165" s="229"/>
      <c r="J165" s="229" t="s">
        <v>9</v>
      </c>
      <c r="K165" s="229"/>
      <c r="L165" s="178" t="s">
        <v>9</v>
      </c>
      <c r="M165" s="178" t="s">
        <v>9</v>
      </c>
      <c r="N165" s="178" t="s">
        <v>9</v>
      </c>
      <c r="O165" s="138"/>
      <c r="P165" s="138"/>
      <c r="S165" s="108" t="s">
        <v>7</v>
      </c>
      <c r="T165" s="130">
        <f>SUM(T162:T164)</f>
        <v>375226.22000000003</v>
      </c>
    </row>
    <row r="166" spans="2:20" ht="82.9" customHeight="1">
      <c r="B166" s="164">
        <v>244</v>
      </c>
      <c r="C166" s="164">
        <v>5</v>
      </c>
      <c r="D166" s="151" t="s">
        <v>276</v>
      </c>
      <c r="E166" s="178">
        <v>1</v>
      </c>
      <c r="F166" s="106">
        <f>147600-39800-12300-8664.15</f>
        <v>86835.85</v>
      </c>
      <c r="G166" s="106">
        <f t="shared" si="5"/>
        <v>86835.85</v>
      </c>
      <c r="H166" s="229" t="s">
        <v>9</v>
      </c>
      <c r="I166" s="229"/>
      <c r="J166" s="229" t="s">
        <v>9</v>
      </c>
      <c r="K166" s="229"/>
      <c r="L166" s="178" t="s">
        <v>9</v>
      </c>
      <c r="M166" s="178" t="s">
        <v>9</v>
      </c>
      <c r="N166" s="178" t="s">
        <v>9</v>
      </c>
      <c r="O166" s="138"/>
      <c r="P166" s="138"/>
      <c r="T166" s="73" t="b">
        <f>G172=T165</f>
        <v>1</v>
      </c>
    </row>
    <row r="167" spans="2:20" ht="69" customHeight="1">
      <c r="B167" s="164">
        <v>244</v>
      </c>
      <c r="C167" s="164">
        <v>6</v>
      </c>
      <c r="D167" s="151" t="s">
        <v>409</v>
      </c>
      <c r="E167" s="178">
        <v>1</v>
      </c>
      <c r="F167" s="178">
        <f>100699+35900-17899.93</f>
        <v>118699.07</v>
      </c>
      <c r="G167" s="106">
        <f t="shared" si="5"/>
        <v>118699.07</v>
      </c>
      <c r="H167" s="229" t="s">
        <v>9</v>
      </c>
      <c r="I167" s="229"/>
      <c r="J167" s="229" t="s">
        <v>9</v>
      </c>
      <c r="K167" s="229"/>
      <c r="L167" s="178" t="s">
        <v>9</v>
      </c>
      <c r="M167" s="178" t="s">
        <v>9</v>
      </c>
      <c r="N167" s="178" t="s">
        <v>9</v>
      </c>
      <c r="O167" s="138"/>
      <c r="P167" s="138"/>
    </row>
    <row r="168" spans="2:20" ht="36" customHeight="1">
      <c r="B168" s="164">
        <v>244</v>
      </c>
      <c r="C168" s="164">
        <v>7</v>
      </c>
      <c r="D168" s="151" t="s">
        <v>410</v>
      </c>
      <c r="E168" s="178">
        <v>1</v>
      </c>
      <c r="F168" s="178">
        <f>600000-500000</f>
        <v>100000</v>
      </c>
      <c r="G168" s="106">
        <f t="shared" si="5"/>
        <v>100000</v>
      </c>
      <c r="H168" s="229" t="s">
        <v>9</v>
      </c>
      <c r="I168" s="229"/>
      <c r="J168" s="229" t="s">
        <v>9</v>
      </c>
      <c r="K168" s="229"/>
      <c r="L168" s="178" t="s">
        <v>9</v>
      </c>
      <c r="M168" s="178" t="s">
        <v>9</v>
      </c>
      <c r="N168" s="178" t="s">
        <v>9</v>
      </c>
      <c r="O168" s="138"/>
      <c r="P168" s="138"/>
    </row>
    <row r="169" spans="2:20" ht="59.45" customHeight="1">
      <c r="B169" s="164">
        <v>244</v>
      </c>
      <c r="C169" s="164">
        <v>8</v>
      </c>
      <c r="D169" s="151" t="s">
        <v>411</v>
      </c>
      <c r="E169" s="178">
        <v>1</v>
      </c>
      <c r="F169" s="178">
        <f>62431.7</f>
        <v>62431.7</v>
      </c>
      <c r="G169" s="106">
        <f t="shared" si="5"/>
        <v>62431.7</v>
      </c>
      <c r="H169" s="229" t="s">
        <v>9</v>
      </c>
      <c r="I169" s="229"/>
      <c r="J169" s="229" t="s">
        <v>9</v>
      </c>
      <c r="K169" s="229"/>
      <c r="L169" s="178" t="s">
        <v>9</v>
      </c>
      <c r="M169" s="178" t="s">
        <v>9</v>
      </c>
      <c r="N169" s="178" t="s">
        <v>9</v>
      </c>
      <c r="O169" s="138"/>
      <c r="P169" s="138"/>
    </row>
    <row r="170" spans="2:20" ht="37.5" hidden="1" customHeight="1">
      <c r="B170" s="164">
        <v>244</v>
      </c>
      <c r="C170" s="164">
        <v>9</v>
      </c>
      <c r="D170" s="146" t="s">
        <v>397</v>
      </c>
      <c r="E170" s="164">
        <v>1</v>
      </c>
      <c r="F170" s="164"/>
      <c r="G170" s="165">
        <f>F170</f>
        <v>0</v>
      </c>
      <c r="H170" s="224" t="s">
        <v>9</v>
      </c>
      <c r="I170" s="224"/>
      <c r="J170" s="224" t="s">
        <v>9</v>
      </c>
      <c r="K170" s="224"/>
      <c r="L170" s="164" t="s">
        <v>9</v>
      </c>
      <c r="M170" s="164" t="s">
        <v>9</v>
      </c>
      <c r="N170" s="164" t="s">
        <v>9</v>
      </c>
      <c r="O170" s="138"/>
      <c r="P170" s="138"/>
    </row>
    <row r="171" spans="2:20" ht="33.75" hidden="1" customHeight="1" outlineLevel="1">
      <c r="B171" s="164">
        <v>244</v>
      </c>
      <c r="C171" s="164">
        <v>10</v>
      </c>
      <c r="D171" s="146" t="s">
        <v>390</v>
      </c>
      <c r="E171" s="164">
        <v>1</v>
      </c>
      <c r="F171" s="164"/>
      <c r="G171" s="165">
        <f t="shared" si="5"/>
        <v>0</v>
      </c>
      <c r="H171" s="224" t="s">
        <v>9</v>
      </c>
      <c r="I171" s="224"/>
      <c r="J171" s="224" t="s">
        <v>9</v>
      </c>
      <c r="K171" s="224"/>
      <c r="L171" s="164" t="s">
        <v>9</v>
      </c>
      <c r="M171" s="164" t="s">
        <v>9</v>
      </c>
      <c r="N171" s="164" t="s">
        <v>9</v>
      </c>
      <c r="O171" s="138"/>
      <c r="P171" s="138"/>
    </row>
    <row r="172" spans="2:20" ht="15.75" customHeight="1" collapsed="1">
      <c r="B172" s="164"/>
      <c r="C172" s="230" t="s">
        <v>23</v>
      </c>
      <c r="D172" s="232"/>
      <c r="E172" s="182" t="s">
        <v>9</v>
      </c>
      <c r="F172" s="182" t="s">
        <v>9</v>
      </c>
      <c r="G172" s="192">
        <f>SUM(G162:G171)</f>
        <v>375226.22000000003</v>
      </c>
      <c r="H172" s="235">
        <f>T162</f>
        <v>50431.96</v>
      </c>
      <c r="I172" s="258"/>
      <c r="J172" s="235">
        <f>T164</f>
        <v>324794.26</v>
      </c>
      <c r="K172" s="235"/>
      <c r="L172" s="166">
        <v>0</v>
      </c>
      <c r="M172" s="166">
        <f>T163</f>
        <v>0</v>
      </c>
      <c r="N172" s="190">
        <v>0</v>
      </c>
      <c r="O172" s="134"/>
      <c r="P172" s="134"/>
      <c r="Q172" s="132">
        <f>SUM(H172:M172)</f>
        <v>375226.22000000003</v>
      </c>
      <c r="R172" s="110">
        <f>Q172-G172</f>
        <v>0</v>
      </c>
    </row>
    <row r="173" spans="2:20" ht="15.75">
      <c r="B173" s="148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152"/>
      <c r="O173" s="152"/>
      <c r="P173" s="152"/>
      <c r="Q173" s="73" t="b">
        <f>G172=Q172</f>
        <v>1</v>
      </c>
    </row>
    <row r="174" spans="2:20" ht="25.5" customHeight="1">
      <c r="B174" s="75"/>
      <c r="C174" s="234" t="s">
        <v>296</v>
      </c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75"/>
      <c r="O174" s="75"/>
      <c r="P174" s="75"/>
    </row>
    <row r="175" spans="2:20" ht="15.75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</row>
    <row r="176" spans="2:20" ht="31.5" customHeight="1">
      <c r="B176" s="229" t="s">
        <v>193</v>
      </c>
      <c r="C176" s="229" t="s">
        <v>2</v>
      </c>
      <c r="D176" s="229" t="s">
        <v>24</v>
      </c>
      <c r="E176" s="229" t="s">
        <v>238</v>
      </c>
      <c r="F176" s="229" t="s">
        <v>239</v>
      </c>
      <c r="G176" s="178" t="s">
        <v>237</v>
      </c>
      <c r="H176" s="229" t="s">
        <v>195</v>
      </c>
      <c r="I176" s="229"/>
      <c r="J176" s="229"/>
      <c r="K176" s="229"/>
      <c r="L176" s="229"/>
      <c r="M176" s="229"/>
      <c r="N176" s="229"/>
      <c r="O176" s="134"/>
      <c r="P176" s="134"/>
    </row>
    <row r="177" spans="2:20" ht="100.5" customHeight="1">
      <c r="B177" s="229"/>
      <c r="C177" s="229"/>
      <c r="D177" s="229"/>
      <c r="E177" s="229"/>
      <c r="F177" s="229"/>
      <c r="G177" s="237" t="s">
        <v>242</v>
      </c>
      <c r="H177" s="229" t="s">
        <v>196</v>
      </c>
      <c r="I177" s="229"/>
      <c r="J177" s="249" t="s">
        <v>197</v>
      </c>
      <c r="K177" s="249"/>
      <c r="L177" s="250" t="s">
        <v>198</v>
      </c>
      <c r="M177" s="250" t="s">
        <v>199</v>
      </c>
      <c r="N177" s="250"/>
      <c r="O177" s="134"/>
      <c r="P177" s="177"/>
    </row>
    <row r="178" spans="2:20" ht="15.75" customHeight="1">
      <c r="B178" s="229"/>
      <c r="C178" s="229"/>
      <c r="D178" s="229"/>
      <c r="E178" s="229"/>
      <c r="F178" s="229"/>
      <c r="G178" s="238"/>
      <c r="H178" s="229"/>
      <c r="I178" s="229"/>
      <c r="J178" s="249"/>
      <c r="K178" s="249"/>
      <c r="L178" s="250"/>
      <c r="M178" s="172" t="s">
        <v>14</v>
      </c>
      <c r="N178" s="172" t="s">
        <v>200</v>
      </c>
      <c r="O178" s="177"/>
      <c r="P178" s="177"/>
    </row>
    <row r="179" spans="2:20" ht="15.75">
      <c r="B179" s="178">
        <v>1</v>
      </c>
      <c r="C179" s="178">
        <v>2</v>
      </c>
      <c r="D179" s="178">
        <v>3</v>
      </c>
      <c r="E179" s="178">
        <v>4</v>
      </c>
      <c r="F179" s="178">
        <v>5</v>
      </c>
      <c r="G179" s="178">
        <v>6</v>
      </c>
      <c r="H179" s="229">
        <v>7</v>
      </c>
      <c r="I179" s="229"/>
      <c r="J179" s="229">
        <v>8</v>
      </c>
      <c r="K179" s="229"/>
      <c r="L179" s="178">
        <v>9</v>
      </c>
      <c r="M179" s="178">
        <v>10</v>
      </c>
      <c r="N179" s="178">
        <v>11</v>
      </c>
      <c r="O179" s="177"/>
      <c r="P179" s="177"/>
      <c r="S179" s="108" t="s">
        <v>305</v>
      </c>
      <c r="T179" s="108"/>
    </row>
    <row r="180" spans="2:20" ht="31.5">
      <c r="B180" s="164">
        <v>244</v>
      </c>
      <c r="C180" s="164">
        <v>1</v>
      </c>
      <c r="D180" s="146" t="s">
        <v>277</v>
      </c>
      <c r="E180" s="164">
        <v>1</v>
      </c>
      <c r="F180" s="165">
        <f>18375+108.3+925+925+925+2775+272.65-788</f>
        <v>23517.95</v>
      </c>
      <c r="G180" s="165">
        <f>E180*F180</f>
        <v>23517.95</v>
      </c>
      <c r="H180" s="224" t="s">
        <v>9</v>
      </c>
      <c r="I180" s="224"/>
      <c r="J180" s="224" t="s">
        <v>9</v>
      </c>
      <c r="K180" s="224"/>
      <c r="L180" s="164" t="s">
        <v>9</v>
      </c>
      <c r="M180" s="164" t="s">
        <v>9</v>
      </c>
      <c r="N180" s="164" t="s">
        <v>9</v>
      </c>
      <c r="O180" s="138"/>
      <c r="P180" s="138"/>
      <c r="Q180" s="83" t="s">
        <v>309</v>
      </c>
      <c r="R180" s="83"/>
      <c r="S180" s="108" t="s">
        <v>304</v>
      </c>
      <c r="T180" s="88">
        <v>207532.28</v>
      </c>
    </row>
    <row r="181" spans="2:20" ht="84" customHeight="1">
      <c r="B181" s="164">
        <v>244</v>
      </c>
      <c r="C181" s="164">
        <v>2</v>
      </c>
      <c r="D181" s="146" t="s">
        <v>417</v>
      </c>
      <c r="E181" s="164">
        <v>1</v>
      </c>
      <c r="F181" s="165">
        <v>28500</v>
      </c>
      <c r="G181" s="165">
        <f>E181*F181</f>
        <v>28500</v>
      </c>
      <c r="H181" s="224" t="s">
        <v>9</v>
      </c>
      <c r="I181" s="224"/>
      <c r="J181" s="224" t="s">
        <v>9</v>
      </c>
      <c r="K181" s="224"/>
      <c r="L181" s="164" t="s">
        <v>9</v>
      </c>
      <c r="M181" s="164" t="s">
        <v>9</v>
      </c>
      <c r="N181" s="164" t="s">
        <v>9</v>
      </c>
      <c r="O181" s="138"/>
      <c r="P181" s="138"/>
      <c r="S181" s="108" t="s">
        <v>298</v>
      </c>
      <c r="T181" s="108">
        <v>666</v>
      </c>
    </row>
    <row r="182" spans="2:20" ht="47.25">
      <c r="B182" s="164">
        <v>244</v>
      </c>
      <c r="C182" s="164">
        <v>3</v>
      </c>
      <c r="D182" s="146" t="s">
        <v>278</v>
      </c>
      <c r="E182" s="164">
        <v>1</v>
      </c>
      <c r="F182" s="165">
        <f>20000+2256+2256+3393.35+3365.36</f>
        <v>31270.71</v>
      </c>
      <c r="G182" s="165">
        <f t="shared" ref="G182:G195" si="6">E182*F182</f>
        <v>31270.71</v>
      </c>
      <c r="H182" s="224" t="s">
        <v>9</v>
      </c>
      <c r="I182" s="224"/>
      <c r="J182" s="224" t="s">
        <v>9</v>
      </c>
      <c r="K182" s="224"/>
      <c r="L182" s="164" t="s">
        <v>9</v>
      </c>
      <c r="M182" s="164" t="s">
        <v>9</v>
      </c>
      <c r="N182" s="164" t="s">
        <v>9</v>
      </c>
      <c r="O182" s="138"/>
      <c r="P182" s="138"/>
      <c r="S182" s="108" t="s">
        <v>313</v>
      </c>
      <c r="T182" s="84">
        <v>125131.56</v>
      </c>
    </row>
    <row r="183" spans="2:20" ht="99.75" customHeight="1">
      <c r="B183" s="164">
        <v>244</v>
      </c>
      <c r="C183" s="164">
        <v>4</v>
      </c>
      <c r="D183" s="146" t="s">
        <v>279</v>
      </c>
      <c r="E183" s="164">
        <v>1</v>
      </c>
      <c r="F183" s="165">
        <f>41830+33957.6</f>
        <v>75787.600000000006</v>
      </c>
      <c r="G183" s="165">
        <f t="shared" si="6"/>
        <v>75787.600000000006</v>
      </c>
      <c r="H183" s="224" t="s">
        <v>9</v>
      </c>
      <c r="I183" s="224"/>
      <c r="J183" s="224" t="s">
        <v>9</v>
      </c>
      <c r="K183" s="224"/>
      <c r="L183" s="164" t="s">
        <v>9</v>
      </c>
      <c r="M183" s="164" t="s">
        <v>9</v>
      </c>
      <c r="N183" s="164" t="s">
        <v>9</v>
      </c>
      <c r="O183" s="138"/>
      <c r="P183" s="138"/>
      <c r="S183" s="108" t="s">
        <v>7</v>
      </c>
      <c r="T183" s="130">
        <f>SUM(T179:T182)</f>
        <v>333329.83999999997</v>
      </c>
    </row>
    <row r="184" spans="2:20" ht="51.75" customHeight="1">
      <c r="B184" s="164">
        <v>244</v>
      </c>
      <c r="C184" s="164">
        <v>5</v>
      </c>
      <c r="D184" s="146" t="s">
        <v>395</v>
      </c>
      <c r="E184" s="164">
        <v>1</v>
      </c>
      <c r="F184" s="165">
        <f>454+55.5+25.5</f>
        <v>535</v>
      </c>
      <c r="G184" s="165">
        <f t="shared" si="6"/>
        <v>535</v>
      </c>
      <c r="H184" s="224" t="s">
        <v>9</v>
      </c>
      <c r="I184" s="224"/>
      <c r="J184" s="224" t="s">
        <v>9</v>
      </c>
      <c r="K184" s="224"/>
      <c r="L184" s="164" t="s">
        <v>9</v>
      </c>
      <c r="M184" s="164" t="s">
        <v>9</v>
      </c>
      <c r="N184" s="164" t="s">
        <v>9</v>
      </c>
      <c r="O184" s="138"/>
      <c r="P184" s="138"/>
      <c r="T184" s="73" t="b">
        <f>G196=T183</f>
        <v>1</v>
      </c>
    </row>
    <row r="185" spans="2:20" ht="15.75" hidden="1">
      <c r="B185" s="164">
        <v>244</v>
      </c>
      <c r="C185" s="164">
        <v>6</v>
      </c>
      <c r="D185" s="146" t="s">
        <v>280</v>
      </c>
      <c r="E185" s="164">
        <v>1</v>
      </c>
      <c r="F185" s="165">
        <v>0</v>
      </c>
      <c r="G185" s="165">
        <f>E185*F185</f>
        <v>0</v>
      </c>
      <c r="H185" s="224" t="s">
        <v>9</v>
      </c>
      <c r="I185" s="224"/>
      <c r="J185" s="224" t="s">
        <v>9</v>
      </c>
      <c r="K185" s="224"/>
      <c r="L185" s="164" t="s">
        <v>9</v>
      </c>
      <c r="M185" s="164" t="s">
        <v>9</v>
      </c>
      <c r="N185" s="164" t="s">
        <v>9</v>
      </c>
      <c r="O185" s="138"/>
      <c r="P185" s="138"/>
    </row>
    <row r="186" spans="2:20" ht="36" hidden="1" customHeight="1">
      <c r="B186" s="164">
        <v>244</v>
      </c>
      <c r="C186" s="164" t="s">
        <v>275</v>
      </c>
      <c r="D186" s="146" t="s">
        <v>281</v>
      </c>
      <c r="E186" s="164">
        <v>1</v>
      </c>
      <c r="F186" s="165">
        <v>0</v>
      </c>
      <c r="G186" s="165">
        <f t="shared" si="6"/>
        <v>0</v>
      </c>
      <c r="H186" s="224" t="s">
        <v>9</v>
      </c>
      <c r="I186" s="224"/>
      <c r="J186" s="224" t="s">
        <v>9</v>
      </c>
      <c r="K186" s="224"/>
      <c r="L186" s="164" t="s">
        <v>9</v>
      </c>
      <c r="M186" s="164" t="s">
        <v>9</v>
      </c>
      <c r="N186" s="164" t="s">
        <v>9</v>
      </c>
      <c r="O186" s="138"/>
      <c r="P186" s="138"/>
    </row>
    <row r="187" spans="2:20" ht="16.5" customHeight="1">
      <c r="B187" s="164">
        <v>244</v>
      </c>
      <c r="C187" s="164">
        <v>6</v>
      </c>
      <c r="D187" s="146" t="s">
        <v>280</v>
      </c>
      <c r="E187" s="164">
        <v>1</v>
      </c>
      <c r="F187" s="194">
        <f>10000+2282+643.62+497.39+643.62+497.39</f>
        <v>14564.02</v>
      </c>
      <c r="G187" s="165">
        <f t="shared" ref="G187" si="7">E187*F187</f>
        <v>14564.02</v>
      </c>
      <c r="H187" s="224" t="s">
        <v>9</v>
      </c>
      <c r="I187" s="224"/>
      <c r="J187" s="224" t="s">
        <v>9</v>
      </c>
      <c r="K187" s="224"/>
      <c r="L187" s="164" t="s">
        <v>9</v>
      </c>
      <c r="M187" s="164" t="s">
        <v>9</v>
      </c>
      <c r="N187" s="164" t="s">
        <v>9</v>
      </c>
      <c r="O187" s="138"/>
      <c r="P187" s="138"/>
    </row>
    <row r="188" spans="2:20" ht="36" customHeight="1">
      <c r="B188" s="164">
        <v>244</v>
      </c>
      <c r="C188" s="164">
        <v>7</v>
      </c>
      <c r="D188" s="146" t="s">
        <v>322</v>
      </c>
      <c r="E188" s="164">
        <v>1</v>
      </c>
      <c r="F188" s="165">
        <v>3000</v>
      </c>
      <c r="G188" s="165">
        <f t="shared" si="6"/>
        <v>3000</v>
      </c>
      <c r="H188" s="224" t="s">
        <v>9</v>
      </c>
      <c r="I188" s="224"/>
      <c r="J188" s="224" t="s">
        <v>9</v>
      </c>
      <c r="K188" s="224"/>
      <c r="L188" s="164" t="s">
        <v>9</v>
      </c>
      <c r="M188" s="164" t="s">
        <v>9</v>
      </c>
      <c r="N188" s="164" t="s">
        <v>9</v>
      </c>
      <c r="O188" s="138"/>
      <c r="P188" s="138"/>
    </row>
    <row r="189" spans="2:20" ht="104.25" customHeight="1">
      <c r="B189" s="164">
        <v>244</v>
      </c>
      <c r="C189" s="164">
        <v>8</v>
      </c>
      <c r="D189" s="146" t="s">
        <v>426</v>
      </c>
      <c r="E189" s="164">
        <v>1</v>
      </c>
      <c r="F189" s="164">
        <v>13500</v>
      </c>
      <c r="G189" s="165">
        <f t="shared" si="6"/>
        <v>13500</v>
      </c>
      <c r="H189" s="224" t="s">
        <v>9</v>
      </c>
      <c r="I189" s="224"/>
      <c r="J189" s="224" t="s">
        <v>9</v>
      </c>
      <c r="K189" s="224"/>
      <c r="L189" s="164" t="s">
        <v>9</v>
      </c>
      <c r="M189" s="164" t="s">
        <v>9</v>
      </c>
      <c r="N189" s="164" t="s">
        <v>9</v>
      </c>
      <c r="O189" s="138"/>
      <c r="P189" s="138"/>
    </row>
    <row r="190" spans="2:20" ht="49.5" customHeight="1">
      <c r="B190" s="164">
        <v>244</v>
      </c>
      <c r="C190" s="185">
        <v>9</v>
      </c>
      <c r="D190" s="146" t="s">
        <v>392</v>
      </c>
      <c r="E190" s="164">
        <v>1</v>
      </c>
      <c r="F190" s="165">
        <f>6136+250+250</f>
        <v>6636</v>
      </c>
      <c r="G190" s="165">
        <f t="shared" si="6"/>
        <v>6636</v>
      </c>
      <c r="H190" s="224" t="s">
        <v>9</v>
      </c>
      <c r="I190" s="224"/>
      <c r="J190" s="224" t="s">
        <v>9</v>
      </c>
      <c r="K190" s="224"/>
      <c r="L190" s="164" t="s">
        <v>9</v>
      </c>
      <c r="M190" s="164" t="s">
        <v>9</v>
      </c>
      <c r="N190" s="164" t="s">
        <v>9</v>
      </c>
      <c r="O190" s="138"/>
      <c r="P190" s="138"/>
    </row>
    <row r="191" spans="2:20" ht="189.75" customHeight="1">
      <c r="B191" s="164">
        <v>244</v>
      </c>
      <c r="C191" s="185">
        <v>10</v>
      </c>
      <c r="D191" s="146" t="s">
        <v>282</v>
      </c>
      <c r="E191" s="164">
        <v>1</v>
      </c>
      <c r="F191" s="165">
        <f>109650+6137</f>
        <v>115787</v>
      </c>
      <c r="G191" s="165">
        <f t="shared" si="6"/>
        <v>115787</v>
      </c>
      <c r="H191" s="224" t="s">
        <v>9</v>
      </c>
      <c r="I191" s="224"/>
      <c r="J191" s="224" t="s">
        <v>9</v>
      </c>
      <c r="K191" s="224"/>
      <c r="L191" s="164" t="s">
        <v>9</v>
      </c>
      <c r="M191" s="164" t="s">
        <v>9</v>
      </c>
      <c r="N191" s="164" t="s">
        <v>9</v>
      </c>
      <c r="O191" s="138"/>
      <c r="P191" s="138"/>
    </row>
    <row r="192" spans="2:20" ht="259.5" customHeight="1">
      <c r="B192" s="136">
        <v>244</v>
      </c>
      <c r="C192" s="185">
        <v>11</v>
      </c>
      <c r="D192" s="146" t="s">
        <v>391</v>
      </c>
      <c r="E192" s="164">
        <v>1</v>
      </c>
      <c r="F192" s="165">
        <f>3500+1000</f>
        <v>4500</v>
      </c>
      <c r="G192" s="165">
        <f t="shared" si="6"/>
        <v>4500</v>
      </c>
      <c r="H192" s="224" t="s">
        <v>9</v>
      </c>
      <c r="I192" s="224"/>
      <c r="J192" s="224" t="s">
        <v>9</v>
      </c>
      <c r="K192" s="224"/>
      <c r="L192" s="164" t="s">
        <v>9</v>
      </c>
      <c r="M192" s="164" t="s">
        <v>9</v>
      </c>
      <c r="N192" s="164" t="s">
        <v>9</v>
      </c>
      <c r="O192" s="138"/>
      <c r="P192" s="138"/>
    </row>
    <row r="193" spans="2:19" ht="98.25" customHeight="1">
      <c r="B193" s="136">
        <v>244</v>
      </c>
      <c r="C193" s="185">
        <v>12</v>
      </c>
      <c r="D193" s="146" t="s">
        <v>416</v>
      </c>
      <c r="E193" s="164">
        <v>1</v>
      </c>
      <c r="F193" s="165">
        <f>15481.56+250</f>
        <v>15731.56</v>
      </c>
      <c r="G193" s="165">
        <f t="shared" si="6"/>
        <v>15731.56</v>
      </c>
      <c r="H193" s="224" t="s">
        <v>9</v>
      </c>
      <c r="I193" s="224"/>
      <c r="J193" s="224" t="s">
        <v>9</v>
      </c>
      <c r="K193" s="224"/>
      <c r="L193" s="164" t="s">
        <v>9</v>
      </c>
      <c r="M193" s="164" t="s">
        <v>9</v>
      </c>
      <c r="N193" s="164" t="s">
        <v>9</v>
      </c>
      <c r="O193" s="138"/>
      <c r="P193" s="138"/>
    </row>
    <row r="194" spans="2:19" ht="98.25" hidden="1" customHeight="1">
      <c r="B194" s="136">
        <v>243</v>
      </c>
      <c r="C194" s="185">
        <v>15</v>
      </c>
      <c r="D194" s="146" t="s">
        <v>354</v>
      </c>
      <c r="E194" s="164">
        <v>1</v>
      </c>
      <c r="F194" s="165"/>
      <c r="G194" s="165">
        <f t="shared" si="6"/>
        <v>0</v>
      </c>
      <c r="H194" s="224" t="s">
        <v>9</v>
      </c>
      <c r="I194" s="224"/>
      <c r="J194" s="224" t="s">
        <v>9</v>
      </c>
      <c r="K194" s="224"/>
      <c r="L194" s="164" t="s">
        <v>9</v>
      </c>
      <c r="M194" s="164" t="s">
        <v>9</v>
      </c>
      <c r="N194" s="164" t="s">
        <v>9</v>
      </c>
      <c r="O194" s="138"/>
      <c r="P194" s="138"/>
    </row>
    <row r="195" spans="2:19" ht="121.5" hidden="1" customHeight="1">
      <c r="B195" s="136">
        <v>112</v>
      </c>
      <c r="C195" s="185">
        <v>11</v>
      </c>
      <c r="D195" s="123" t="s">
        <v>348</v>
      </c>
      <c r="E195" s="164">
        <v>1</v>
      </c>
      <c r="F195" s="165"/>
      <c r="G195" s="165">
        <f t="shared" si="6"/>
        <v>0</v>
      </c>
      <c r="H195" s="224" t="s">
        <v>9</v>
      </c>
      <c r="I195" s="224"/>
      <c r="J195" s="224" t="s">
        <v>9</v>
      </c>
      <c r="K195" s="224"/>
      <c r="L195" s="164" t="s">
        <v>9</v>
      </c>
      <c r="M195" s="164" t="s">
        <v>9</v>
      </c>
      <c r="N195" s="164" t="s">
        <v>9</v>
      </c>
      <c r="O195" s="138"/>
      <c r="P195" s="138"/>
    </row>
    <row r="196" spans="2:19" ht="15.75" customHeight="1">
      <c r="B196" s="153"/>
      <c r="C196" s="230" t="s">
        <v>23</v>
      </c>
      <c r="D196" s="232"/>
      <c r="E196" s="182" t="s">
        <v>9</v>
      </c>
      <c r="F196" s="182" t="s">
        <v>9</v>
      </c>
      <c r="G196" s="192">
        <f>SUM(G180:G195)</f>
        <v>333329.84000000003</v>
      </c>
      <c r="H196" s="235">
        <f>T180+T179</f>
        <v>207532.28</v>
      </c>
      <c r="I196" s="258"/>
      <c r="J196" s="235">
        <f>T182</f>
        <v>125131.56</v>
      </c>
      <c r="K196" s="258"/>
      <c r="L196" s="166">
        <v>0</v>
      </c>
      <c r="M196" s="166">
        <f>T181</f>
        <v>666</v>
      </c>
      <c r="N196" s="190">
        <v>0</v>
      </c>
      <c r="O196" s="134"/>
      <c r="P196" s="134"/>
      <c r="Q196" s="132">
        <f>SUM(H196:M196)</f>
        <v>333329.83999999997</v>
      </c>
      <c r="R196" s="132"/>
      <c r="S196" s="110">
        <f>G196-Q196</f>
        <v>0</v>
      </c>
    </row>
    <row r="197" spans="2:19" ht="15.75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152"/>
      <c r="O197" s="152"/>
      <c r="P197" s="152"/>
      <c r="Q197" s="73" t="b">
        <f>G196=Q196</f>
        <v>1</v>
      </c>
    </row>
    <row r="198" spans="2:19" ht="24" customHeight="1">
      <c r="B198" s="75"/>
      <c r="C198" s="234" t="s">
        <v>297</v>
      </c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75"/>
      <c r="O198" s="75"/>
      <c r="P198" s="75"/>
    </row>
    <row r="199" spans="2:19" ht="15.75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</row>
    <row r="200" spans="2:19" ht="31.5" customHeight="1">
      <c r="B200" s="229" t="s">
        <v>193</v>
      </c>
      <c r="C200" s="229" t="s">
        <v>2</v>
      </c>
      <c r="D200" s="229" t="s">
        <v>24</v>
      </c>
      <c r="E200" s="229" t="s">
        <v>248</v>
      </c>
      <c r="F200" s="229" t="s">
        <v>249</v>
      </c>
      <c r="G200" s="178" t="s">
        <v>210</v>
      </c>
      <c r="H200" s="229" t="s">
        <v>195</v>
      </c>
      <c r="I200" s="229"/>
      <c r="J200" s="229"/>
      <c r="K200" s="229"/>
      <c r="L200" s="229"/>
      <c r="M200" s="229"/>
      <c r="N200" s="229"/>
      <c r="O200" s="134"/>
      <c r="P200" s="134"/>
    </row>
    <row r="201" spans="2:19" ht="99.75" customHeight="1">
      <c r="B201" s="229"/>
      <c r="C201" s="229"/>
      <c r="D201" s="229"/>
      <c r="E201" s="229"/>
      <c r="F201" s="229"/>
      <c r="G201" s="229" t="s">
        <v>242</v>
      </c>
      <c r="H201" s="229" t="s">
        <v>196</v>
      </c>
      <c r="I201" s="229"/>
      <c r="J201" s="249" t="s">
        <v>197</v>
      </c>
      <c r="K201" s="249"/>
      <c r="L201" s="250" t="s">
        <v>198</v>
      </c>
      <c r="M201" s="250" t="s">
        <v>199</v>
      </c>
      <c r="N201" s="250"/>
      <c r="O201" s="134"/>
      <c r="P201" s="177"/>
    </row>
    <row r="202" spans="2:19" ht="15.75" customHeight="1">
      <c r="B202" s="229"/>
      <c r="C202" s="229"/>
      <c r="D202" s="229"/>
      <c r="E202" s="229"/>
      <c r="F202" s="229"/>
      <c r="G202" s="229"/>
      <c r="H202" s="229"/>
      <c r="I202" s="229"/>
      <c r="J202" s="249"/>
      <c r="K202" s="249"/>
      <c r="L202" s="250"/>
      <c r="M202" s="172" t="s">
        <v>14</v>
      </c>
      <c r="N202" s="172" t="s">
        <v>200</v>
      </c>
      <c r="O202" s="177"/>
      <c r="P202" s="177"/>
    </row>
    <row r="203" spans="2:19" ht="15.75">
      <c r="B203" s="178">
        <v>1</v>
      </c>
      <c r="C203" s="178">
        <v>2</v>
      </c>
      <c r="D203" s="178">
        <v>3</v>
      </c>
      <c r="E203" s="178">
        <v>4</v>
      </c>
      <c r="F203" s="178">
        <v>5</v>
      </c>
      <c r="G203" s="178">
        <v>6</v>
      </c>
      <c r="H203" s="229">
        <v>7</v>
      </c>
      <c r="I203" s="229"/>
      <c r="J203" s="229">
        <v>8</v>
      </c>
      <c r="K203" s="229"/>
      <c r="L203" s="178">
        <v>9</v>
      </c>
      <c r="M203" s="178">
        <v>10</v>
      </c>
      <c r="N203" s="178">
        <v>11</v>
      </c>
      <c r="O203" s="177"/>
      <c r="P203" s="177"/>
    </row>
    <row r="204" spans="2:19" ht="23.45" customHeight="1">
      <c r="B204" s="164">
        <v>244</v>
      </c>
      <c r="C204" s="164" t="s">
        <v>201</v>
      </c>
      <c r="D204" s="144" t="s">
        <v>412</v>
      </c>
      <c r="E204" s="154">
        <v>1</v>
      </c>
      <c r="F204" s="72">
        <v>2848.04</v>
      </c>
      <c r="G204" s="72">
        <f>F204</f>
        <v>2848.04</v>
      </c>
      <c r="H204" s="257" t="s">
        <v>9</v>
      </c>
      <c r="I204" s="257"/>
      <c r="J204" s="257" t="s">
        <v>9</v>
      </c>
      <c r="K204" s="257"/>
      <c r="L204" s="165" t="s">
        <v>9</v>
      </c>
      <c r="M204" s="165" t="s">
        <v>9</v>
      </c>
      <c r="N204" s="165" t="s">
        <v>9</v>
      </c>
      <c r="O204" s="150"/>
      <c r="P204" s="150"/>
    </row>
    <row r="205" spans="2:19" s="149" customFormat="1" ht="15.75">
      <c r="B205" s="164"/>
      <c r="C205" s="230" t="s">
        <v>23</v>
      </c>
      <c r="D205" s="232"/>
      <c r="E205" s="166" t="s">
        <v>9</v>
      </c>
      <c r="F205" s="166" t="s">
        <v>9</v>
      </c>
      <c r="G205" s="166">
        <f>SUM(G204)</f>
        <v>2848.04</v>
      </c>
      <c r="H205" s="235">
        <f>G205</f>
        <v>2848.04</v>
      </c>
      <c r="I205" s="235"/>
      <c r="J205" s="235">
        <v>0</v>
      </c>
      <c r="K205" s="235"/>
      <c r="L205" s="166">
        <v>0</v>
      </c>
      <c r="M205" s="166">
        <v>0</v>
      </c>
      <c r="N205" s="166">
        <v>0</v>
      </c>
      <c r="O205" s="83"/>
      <c r="P205" s="83"/>
      <c r="Q205" s="83" t="s">
        <v>310</v>
      </c>
      <c r="R205" s="83"/>
    </row>
    <row r="206" spans="2:19" s="149" customFormat="1" ht="15.75">
      <c r="B206" s="148"/>
      <c r="C206" s="155"/>
      <c r="D206" s="155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</row>
    <row r="207" spans="2:19" ht="24" customHeight="1">
      <c r="B207" s="75"/>
      <c r="C207" s="234" t="s">
        <v>350</v>
      </c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75"/>
      <c r="O207" s="75"/>
      <c r="P207" s="75"/>
    </row>
    <row r="208" spans="2:19" ht="15.75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</row>
    <row r="209" spans="2:19" ht="31.5" customHeight="1">
      <c r="B209" s="229" t="s">
        <v>193</v>
      </c>
      <c r="C209" s="229" t="s">
        <v>2</v>
      </c>
      <c r="D209" s="229" t="s">
        <v>24</v>
      </c>
      <c r="E209" s="229" t="s">
        <v>248</v>
      </c>
      <c r="F209" s="229" t="s">
        <v>351</v>
      </c>
      <c r="G209" s="178" t="s">
        <v>210</v>
      </c>
      <c r="H209" s="229" t="s">
        <v>195</v>
      </c>
      <c r="I209" s="229"/>
      <c r="J209" s="229"/>
      <c r="K209" s="229"/>
      <c r="L209" s="229"/>
      <c r="M209" s="229"/>
      <c r="N209" s="229"/>
      <c r="O209" s="134"/>
      <c r="P209" s="134"/>
    </row>
    <row r="210" spans="2:19" ht="99.75" customHeight="1">
      <c r="B210" s="229"/>
      <c r="C210" s="229"/>
      <c r="D210" s="229"/>
      <c r="E210" s="229"/>
      <c r="F210" s="229"/>
      <c r="G210" s="229" t="s">
        <v>242</v>
      </c>
      <c r="H210" s="229" t="s">
        <v>196</v>
      </c>
      <c r="I210" s="229"/>
      <c r="J210" s="249" t="s">
        <v>197</v>
      </c>
      <c r="K210" s="249"/>
      <c r="L210" s="250" t="s">
        <v>198</v>
      </c>
      <c r="M210" s="250" t="s">
        <v>199</v>
      </c>
      <c r="N210" s="250"/>
      <c r="O210" s="134"/>
      <c r="P210" s="177"/>
    </row>
    <row r="211" spans="2:19" ht="15.75" customHeight="1">
      <c r="B211" s="229"/>
      <c r="C211" s="229"/>
      <c r="D211" s="229"/>
      <c r="E211" s="229"/>
      <c r="F211" s="229"/>
      <c r="G211" s="229"/>
      <c r="H211" s="229"/>
      <c r="I211" s="229"/>
      <c r="J211" s="249"/>
      <c r="K211" s="249"/>
      <c r="L211" s="250"/>
      <c r="M211" s="172" t="s">
        <v>14</v>
      </c>
      <c r="N211" s="172" t="s">
        <v>200</v>
      </c>
      <c r="O211" s="177"/>
      <c r="P211" s="177"/>
    </row>
    <row r="212" spans="2:19" ht="15.75">
      <c r="B212" s="178">
        <v>1</v>
      </c>
      <c r="C212" s="178">
        <v>2</v>
      </c>
      <c r="D212" s="178">
        <v>3</v>
      </c>
      <c r="E212" s="178">
        <v>4</v>
      </c>
      <c r="F212" s="178">
        <v>5</v>
      </c>
      <c r="G212" s="178">
        <v>6</v>
      </c>
      <c r="H212" s="229">
        <v>7</v>
      </c>
      <c r="I212" s="229"/>
      <c r="J212" s="229">
        <v>8</v>
      </c>
      <c r="K212" s="229"/>
      <c r="L212" s="178">
        <v>9</v>
      </c>
      <c r="M212" s="178">
        <v>10</v>
      </c>
      <c r="N212" s="178">
        <v>11</v>
      </c>
      <c r="O212" s="177"/>
      <c r="P212" s="177"/>
    </row>
    <row r="213" spans="2:19" ht="31.5" customHeight="1">
      <c r="B213" s="164"/>
      <c r="C213" s="164"/>
      <c r="D213" s="82"/>
      <c r="E213" s="154"/>
      <c r="F213" s="72"/>
      <c r="G213" s="72"/>
      <c r="H213" s="257" t="s">
        <v>9</v>
      </c>
      <c r="I213" s="257"/>
      <c r="J213" s="257" t="s">
        <v>9</v>
      </c>
      <c r="K213" s="257"/>
      <c r="L213" s="165" t="s">
        <v>9</v>
      </c>
      <c r="M213" s="165" t="s">
        <v>9</v>
      </c>
      <c r="N213" s="165" t="s">
        <v>9</v>
      </c>
      <c r="O213" s="150"/>
      <c r="P213" s="150"/>
    </row>
    <row r="214" spans="2:19" s="149" customFormat="1" ht="15.75">
      <c r="B214" s="164"/>
      <c r="C214" s="230" t="s">
        <v>23</v>
      </c>
      <c r="D214" s="232"/>
      <c r="E214" s="166" t="s">
        <v>9</v>
      </c>
      <c r="F214" s="166" t="s">
        <v>9</v>
      </c>
      <c r="G214" s="166"/>
      <c r="H214" s="235"/>
      <c r="I214" s="235"/>
      <c r="J214" s="235"/>
      <c r="K214" s="235"/>
      <c r="L214" s="166"/>
      <c r="M214" s="166"/>
      <c r="N214" s="166"/>
      <c r="O214" s="83"/>
      <c r="P214" s="83"/>
    </row>
    <row r="215" spans="2:19" s="149" customFormat="1" ht="22.5" customHeight="1">
      <c r="B215" s="156"/>
      <c r="C215" s="156"/>
      <c r="D215" s="157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</row>
    <row r="216" spans="2:19" ht="26.25" customHeight="1">
      <c r="B216" s="75"/>
      <c r="C216" s="234" t="s">
        <v>352</v>
      </c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75"/>
      <c r="O216" s="75"/>
      <c r="P216" s="75"/>
    </row>
    <row r="217" spans="2:19" ht="15.75" customHeight="1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</row>
    <row r="218" spans="2:19" ht="31.5" customHeight="1">
      <c r="B218" s="237" t="s">
        <v>193</v>
      </c>
      <c r="C218" s="237" t="s">
        <v>2</v>
      </c>
      <c r="D218" s="237" t="s">
        <v>24</v>
      </c>
      <c r="E218" s="237" t="s">
        <v>240</v>
      </c>
      <c r="F218" s="237" t="s">
        <v>241</v>
      </c>
      <c r="G218" s="178" t="s">
        <v>210</v>
      </c>
      <c r="H218" s="227" t="s">
        <v>195</v>
      </c>
      <c r="I218" s="256"/>
      <c r="J218" s="256"/>
      <c r="K218" s="256"/>
      <c r="L218" s="256"/>
      <c r="M218" s="256"/>
      <c r="N218" s="228"/>
      <c r="O218" s="134"/>
      <c r="P218" s="134"/>
    </row>
    <row r="219" spans="2:19" ht="100.5" customHeight="1">
      <c r="B219" s="255"/>
      <c r="C219" s="255"/>
      <c r="D219" s="255"/>
      <c r="E219" s="255"/>
      <c r="F219" s="255"/>
      <c r="G219" s="237" t="s">
        <v>242</v>
      </c>
      <c r="H219" s="239" t="s">
        <v>196</v>
      </c>
      <c r="I219" s="240"/>
      <c r="J219" s="243" t="s">
        <v>197</v>
      </c>
      <c r="K219" s="244"/>
      <c r="L219" s="251" t="s">
        <v>198</v>
      </c>
      <c r="M219" s="253" t="s">
        <v>199</v>
      </c>
      <c r="N219" s="254"/>
      <c r="O219" s="134"/>
      <c r="P219" s="177"/>
    </row>
    <row r="220" spans="2:19" ht="31.5">
      <c r="B220" s="238"/>
      <c r="C220" s="238"/>
      <c r="D220" s="238"/>
      <c r="E220" s="238"/>
      <c r="F220" s="238"/>
      <c r="G220" s="238"/>
      <c r="H220" s="241"/>
      <c r="I220" s="242"/>
      <c r="J220" s="245"/>
      <c r="K220" s="246"/>
      <c r="L220" s="252"/>
      <c r="M220" s="172" t="s">
        <v>14</v>
      </c>
      <c r="N220" s="172" t="s">
        <v>200</v>
      </c>
      <c r="O220" s="177"/>
      <c r="P220" s="177"/>
    </row>
    <row r="221" spans="2:19" ht="15.75" customHeight="1">
      <c r="B221" s="178">
        <v>1</v>
      </c>
      <c r="C221" s="178">
        <v>2</v>
      </c>
      <c r="D221" s="178">
        <v>3</v>
      </c>
      <c r="E221" s="178">
        <v>4</v>
      </c>
      <c r="F221" s="178">
        <v>5</v>
      </c>
      <c r="G221" s="178">
        <v>6</v>
      </c>
      <c r="H221" s="227">
        <v>7</v>
      </c>
      <c r="I221" s="228"/>
      <c r="J221" s="227">
        <v>8</v>
      </c>
      <c r="K221" s="228"/>
      <c r="L221" s="178">
        <v>9</v>
      </c>
      <c r="M221" s="178">
        <v>10</v>
      </c>
      <c r="N221" s="178">
        <v>11</v>
      </c>
      <c r="O221" s="177"/>
      <c r="P221" s="177"/>
    </row>
    <row r="222" spans="2:19" ht="31.5" hidden="1">
      <c r="B222" s="164">
        <v>244</v>
      </c>
      <c r="C222" s="164" t="s">
        <v>201</v>
      </c>
      <c r="D222" s="82" t="s">
        <v>331</v>
      </c>
      <c r="E222" s="164">
        <v>1</v>
      </c>
      <c r="F222" s="72"/>
      <c r="G222" s="72">
        <f>F222</f>
        <v>0</v>
      </c>
      <c r="H222" s="220" t="s">
        <v>9</v>
      </c>
      <c r="I222" s="221"/>
      <c r="J222" s="220" t="s">
        <v>9</v>
      </c>
      <c r="K222" s="221"/>
      <c r="L222" s="164" t="s">
        <v>9</v>
      </c>
      <c r="M222" s="164" t="s">
        <v>9</v>
      </c>
      <c r="N222" s="164" t="s">
        <v>9</v>
      </c>
      <c r="O222" s="148"/>
      <c r="P222" s="148"/>
      <c r="R222" s="73" t="s">
        <v>313</v>
      </c>
      <c r="S222" s="132"/>
    </row>
    <row r="223" spans="2:19" ht="24" customHeight="1">
      <c r="B223" s="164">
        <v>244</v>
      </c>
      <c r="C223" s="185">
        <v>1</v>
      </c>
      <c r="D223" s="82"/>
      <c r="E223" s="164">
        <v>0</v>
      </c>
      <c r="F223" s="165">
        <v>0</v>
      </c>
      <c r="G223" s="165">
        <v>0</v>
      </c>
      <c r="H223" s="220" t="s">
        <v>346</v>
      </c>
      <c r="I223" s="221"/>
      <c r="J223" s="220" t="s">
        <v>346</v>
      </c>
      <c r="K223" s="221"/>
      <c r="L223" s="164" t="s">
        <v>346</v>
      </c>
      <c r="M223" s="164" t="s">
        <v>346</v>
      </c>
      <c r="N223" s="164" t="s">
        <v>346</v>
      </c>
      <c r="O223" s="148"/>
      <c r="P223" s="148"/>
      <c r="R223" s="73" t="s">
        <v>349</v>
      </c>
      <c r="S223" s="132">
        <v>0</v>
      </c>
    </row>
    <row r="224" spans="2:19" ht="45" hidden="1" customHeight="1">
      <c r="B224" s="164">
        <v>244</v>
      </c>
      <c r="C224" s="185">
        <v>2</v>
      </c>
      <c r="D224" s="82" t="s">
        <v>373</v>
      </c>
      <c r="E224" s="164">
        <v>1</v>
      </c>
      <c r="F224" s="165"/>
      <c r="G224" s="165">
        <f>F224*E224</f>
        <v>0</v>
      </c>
      <c r="H224" s="185"/>
      <c r="I224" s="186"/>
      <c r="J224" s="185"/>
      <c r="K224" s="186"/>
      <c r="L224" s="164"/>
      <c r="M224" s="164"/>
      <c r="N224" s="164"/>
      <c r="O224" s="148"/>
      <c r="P224" s="148"/>
      <c r="S224" s="132"/>
    </row>
    <row r="225" spans="2:21" ht="45" hidden="1" customHeight="1">
      <c r="B225" s="164">
        <v>244</v>
      </c>
      <c r="C225" s="185">
        <v>3</v>
      </c>
      <c r="D225" s="82" t="s">
        <v>374</v>
      </c>
      <c r="E225" s="164">
        <v>1</v>
      </c>
      <c r="F225" s="165"/>
      <c r="G225" s="165">
        <f>F225*E225</f>
        <v>0</v>
      </c>
      <c r="H225" s="185"/>
      <c r="I225" s="186"/>
      <c r="J225" s="185"/>
      <c r="K225" s="186"/>
      <c r="L225" s="164"/>
      <c r="M225" s="164"/>
      <c r="N225" s="164"/>
      <c r="O225" s="148"/>
      <c r="P225" s="148"/>
      <c r="S225" s="132"/>
    </row>
    <row r="226" spans="2:21" ht="45" hidden="1" customHeight="1">
      <c r="B226" s="164">
        <v>244</v>
      </c>
      <c r="C226" s="185">
        <v>4</v>
      </c>
      <c r="D226" s="82" t="s">
        <v>375</v>
      </c>
      <c r="E226" s="164">
        <v>1</v>
      </c>
      <c r="F226" s="165"/>
      <c r="G226" s="165">
        <f>F226*E226</f>
        <v>0</v>
      </c>
      <c r="H226" s="185"/>
      <c r="I226" s="186"/>
      <c r="J226" s="185"/>
      <c r="K226" s="186"/>
      <c r="L226" s="164"/>
      <c r="M226" s="164"/>
      <c r="N226" s="164"/>
      <c r="O226" s="148"/>
      <c r="P226" s="148"/>
      <c r="S226" s="132"/>
    </row>
    <row r="227" spans="2:21" ht="45" hidden="1" customHeight="1">
      <c r="B227" s="164">
        <v>244</v>
      </c>
      <c r="C227" s="185">
        <v>5</v>
      </c>
      <c r="D227" s="82" t="s">
        <v>372</v>
      </c>
      <c r="E227" s="164">
        <v>1</v>
      </c>
      <c r="F227" s="165"/>
      <c r="G227" s="165">
        <f>E227*F227</f>
        <v>0</v>
      </c>
      <c r="H227" s="185"/>
      <c r="I227" s="186"/>
      <c r="J227" s="185"/>
      <c r="K227" s="186"/>
      <c r="L227" s="164"/>
      <c r="M227" s="164"/>
      <c r="N227" s="164"/>
      <c r="O227" s="148"/>
      <c r="P227" s="148"/>
      <c r="S227" s="132"/>
    </row>
    <row r="228" spans="2:21" s="149" customFormat="1" ht="15.75">
      <c r="B228" s="144"/>
      <c r="C228" s="230" t="s">
        <v>23</v>
      </c>
      <c r="D228" s="232"/>
      <c r="E228" s="182" t="s">
        <v>9</v>
      </c>
      <c r="F228" s="182" t="s">
        <v>9</v>
      </c>
      <c r="G228" s="192">
        <f>SUM(G223:G227)</f>
        <v>0</v>
      </c>
      <c r="H228" s="235">
        <f>S223</f>
        <v>0</v>
      </c>
      <c r="I228" s="235"/>
      <c r="J228" s="236">
        <f>S222</f>
        <v>0</v>
      </c>
      <c r="K228" s="236"/>
      <c r="L228" s="192">
        <v>0</v>
      </c>
      <c r="M228" s="192">
        <v>0</v>
      </c>
      <c r="N228" s="192">
        <v>0</v>
      </c>
      <c r="O228" s="83"/>
      <c r="P228" s="83"/>
    </row>
    <row r="229" spans="2:21" ht="15.75" customHeight="1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</row>
    <row r="230" spans="2:21" ht="24.75" customHeight="1">
      <c r="B230" s="75"/>
      <c r="C230" s="234" t="s">
        <v>353</v>
      </c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75"/>
      <c r="O230" s="75"/>
      <c r="P230" s="75"/>
      <c r="R230" s="73" t="s">
        <v>7</v>
      </c>
      <c r="S230" s="110">
        <f>SUM(S222:S229)</f>
        <v>0</v>
      </c>
    </row>
    <row r="231" spans="2:21" ht="15" customHeight="1">
      <c r="B231" s="75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75"/>
      <c r="O231" s="75"/>
      <c r="P231" s="75"/>
      <c r="S231" s="132"/>
    </row>
    <row r="232" spans="2:21" ht="31.5" customHeight="1">
      <c r="B232" s="229" t="s">
        <v>193</v>
      </c>
      <c r="C232" s="229" t="s">
        <v>2</v>
      </c>
      <c r="D232" s="239" t="s">
        <v>24</v>
      </c>
      <c r="E232" s="240"/>
      <c r="F232" s="229" t="s">
        <v>37</v>
      </c>
      <c r="G232" s="229" t="s">
        <v>241</v>
      </c>
      <c r="H232" s="178" t="s">
        <v>210</v>
      </c>
      <c r="I232" s="229" t="s">
        <v>195</v>
      </c>
      <c r="J232" s="229"/>
      <c r="K232" s="229"/>
      <c r="L232" s="229"/>
      <c r="M232" s="229"/>
      <c r="N232" s="229"/>
      <c r="O232" s="229"/>
      <c r="P232" s="134"/>
      <c r="R232" s="73" t="b">
        <f>S230=G228</f>
        <v>1</v>
      </c>
    </row>
    <row r="233" spans="2:21" ht="96.75" customHeight="1">
      <c r="B233" s="229"/>
      <c r="C233" s="229"/>
      <c r="D233" s="247"/>
      <c r="E233" s="248"/>
      <c r="F233" s="229"/>
      <c r="G233" s="229"/>
      <c r="H233" s="229" t="s">
        <v>242</v>
      </c>
      <c r="I233" s="229" t="s">
        <v>196</v>
      </c>
      <c r="J233" s="229"/>
      <c r="K233" s="249" t="s">
        <v>197</v>
      </c>
      <c r="L233" s="249"/>
      <c r="M233" s="250" t="s">
        <v>198</v>
      </c>
      <c r="N233" s="250" t="s">
        <v>199</v>
      </c>
      <c r="O233" s="250"/>
      <c r="P233" s="134"/>
    </row>
    <row r="234" spans="2:21" ht="31.5">
      <c r="B234" s="229"/>
      <c r="C234" s="229"/>
      <c r="D234" s="241"/>
      <c r="E234" s="242"/>
      <c r="F234" s="229"/>
      <c r="G234" s="229"/>
      <c r="H234" s="229"/>
      <c r="I234" s="229"/>
      <c r="J234" s="229"/>
      <c r="K234" s="249"/>
      <c r="L234" s="249"/>
      <c r="M234" s="250"/>
      <c r="N234" s="172" t="s">
        <v>14</v>
      </c>
      <c r="O234" s="172" t="s">
        <v>200</v>
      </c>
      <c r="P234" s="177"/>
    </row>
    <row r="235" spans="2:21" ht="15.75" customHeight="1">
      <c r="B235" s="178">
        <v>1</v>
      </c>
      <c r="C235" s="178">
        <v>2</v>
      </c>
      <c r="D235" s="227">
        <v>3</v>
      </c>
      <c r="E235" s="228"/>
      <c r="F235" s="178">
        <v>4</v>
      </c>
      <c r="G235" s="178">
        <v>5</v>
      </c>
      <c r="H235" s="178">
        <v>6</v>
      </c>
      <c r="I235" s="229">
        <v>7</v>
      </c>
      <c r="J235" s="229"/>
      <c r="K235" s="229">
        <v>8</v>
      </c>
      <c r="L235" s="229"/>
      <c r="M235" s="178">
        <v>9</v>
      </c>
      <c r="N235" s="178">
        <v>10</v>
      </c>
      <c r="O235" s="178">
        <v>11</v>
      </c>
      <c r="P235" s="177"/>
      <c r="U235" s="73" t="s">
        <v>342</v>
      </c>
    </row>
    <row r="236" spans="2:21" ht="33" customHeight="1">
      <c r="B236" s="164">
        <v>244</v>
      </c>
      <c r="C236" s="164">
        <v>1</v>
      </c>
      <c r="D236" s="225" t="s">
        <v>283</v>
      </c>
      <c r="E236" s="226"/>
      <c r="F236" s="164">
        <f>ROUND((H236/G236),0)</f>
        <v>0</v>
      </c>
      <c r="G236" s="165">
        <v>170</v>
      </c>
      <c r="H236" s="72">
        <v>0</v>
      </c>
      <c r="I236" s="224" t="s">
        <v>9</v>
      </c>
      <c r="J236" s="224"/>
      <c r="K236" s="224" t="s">
        <v>9</v>
      </c>
      <c r="L236" s="224"/>
      <c r="M236" s="164" t="s">
        <v>9</v>
      </c>
      <c r="N236" s="164" t="s">
        <v>9</v>
      </c>
      <c r="O236" s="164" t="s">
        <v>9</v>
      </c>
      <c r="P236" s="138"/>
      <c r="Q236" s="83" t="s">
        <v>315</v>
      </c>
      <c r="R236" s="83"/>
      <c r="S236" s="108" t="s">
        <v>304</v>
      </c>
      <c r="T236" s="158">
        <v>523376.97</v>
      </c>
    </row>
    <row r="237" spans="2:21" ht="17.25" customHeight="1">
      <c r="B237" s="164">
        <v>244</v>
      </c>
      <c r="C237" s="164">
        <v>2</v>
      </c>
      <c r="D237" s="225" t="s">
        <v>265</v>
      </c>
      <c r="E237" s="226"/>
      <c r="F237" s="164" t="s">
        <v>346</v>
      </c>
      <c r="G237" s="164" t="s">
        <v>346</v>
      </c>
      <c r="H237" s="72">
        <f>H238+H239</f>
        <v>979038.52</v>
      </c>
      <c r="I237" s="224" t="s">
        <v>9</v>
      </c>
      <c r="J237" s="224"/>
      <c r="K237" s="224" t="s">
        <v>9</v>
      </c>
      <c r="L237" s="224"/>
      <c r="M237" s="164" t="s">
        <v>9</v>
      </c>
      <c r="N237" s="164" t="s">
        <v>9</v>
      </c>
      <c r="O237" s="164" t="s">
        <v>9</v>
      </c>
      <c r="P237" s="138"/>
      <c r="Q237" s="83" t="s">
        <v>316</v>
      </c>
      <c r="R237" s="83"/>
      <c r="S237" s="108" t="s">
        <v>298</v>
      </c>
      <c r="T237" s="108">
        <f>586064.81-20673.91</f>
        <v>565390.9</v>
      </c>
      <c r="U237" s="73">
        <v>0</v>
      </c>
    </row>
    <row r="238" spans="2:21" ht="34.5" customHeight="1">
      <c r="B238" s="164">
        <v>244</v>
      </c>
      <c r="C238" s="164" t="s">
        <v>31</v>
      </c>
      <c r="D238" s="225" t="s">
        <v>344</v>
      </c>
      <c r="E238" s="226"/>
      <c r="F238" s="164">
        <f t="shared" ref="F238:F250" si="8">ROUND((H238/G238),0)</f>
        <v>18378</v>
      </c>
      <c r="G238" s="164">
        <f>11.45+12.21</f>
        <v>23.66</v>
      </c>
      <c r="H238" s="72">
        <f>447372.38-12547.49</f>
        <v>434824.89</v>
      </c>
      <c r="I238" s="224" t="s">
        <v>9</v>
      </c>
      <c r="J238" s="224"/>
      <c r="K238" s="224" t="s">
        <v>9</v>
      </c>
      <c r="L238" s="224"/>
      <c r="M238" s="164" t="s">
        <v>9</v>
      </c>
      <c r="N238" s="164" t="s">
        <v>9</v>
      </c>
      <c r="O238" s="164" t="s">
        <v>9</v>
      </c>
      <c r="P238" s="138"/>
      <c r="Q238" s="83"/>
      <c r="R238" s="83"/>
      <c r="S238" s="108"/>
      <c r="T238" s="108"/>
    </row>
    <row r="239" spans="2:21" ht="36" customHeight="1">
      <c r="B239" s="164">
        <v>244</v>
      </c>
      <c r="C239" s="164" t="s">
        <v>32</v>
      </c>
      <c r="D239" s="225" t="s">
        <v>345</v>
      </c>
      <c r="E239" s="226"/>
      <c r="F239" s="164">
        <f t="shared" si="8"/>
        <v>6392</v>
      </c>
      <c r="G239" s="164">
        <v>85.14</v>
      </c>
      <c r="H239" s="72">
        <v>544213.63</v>
      </c>
      <c r="I239" s="224" t="s">
        <v>9</v>
      </c>
      <c r="J239" s="224"/>
      <c r="K239" s="224" t="s">
        <v>9</v>
      </c>
      <c r="L239" s="224"/>
      <c r="M239" s="164" t="s">
        <v>9</v>
      </c>
      <c r="N239" s="164" t="s">
        <v>9</v>
      </c>
      <c r="O239" s="164" t="s">
        <v>9</v>
      </c>
      <c r="P239" s="138"/>
      <c r="Q239" s="83"/>
      <c r="R239" s="83"/>
      <c r="S239" s="108"/>
      <c r="T239" s="108"/>
    </row>
    <row r="240" spans="2:21" ht="33" customHeight="1">
      <c r="B240" s="164">
        <v>244</v>
      </c>
      <c r="C240" s="164">
        <v>3</v>
      </c>
      <c r="D240" s="225" t="s">
        <v>266</v>
      </c>
      <c r="E240" s="226"/>
      <c r="F240" s="164">
        <f t="shared" si="8"/>
        <v>8267</v>
      </c>
      <c r="G240" s="164">
        <v>44.15</v>
      </c>
      <c r="H240" s="72">
        <v>365010</v>
      </c>
      <c r="I240" s="224" t="s">
        <v>9</v>
      </c>
      <c r="J240" s="224"/>
      <c r="K240" s="224" t="s">
        <v>9</v>
      </c>
      <c r="L240" s="224"/>
      <c r="M240" s="164" t="s">
        <v>9</v>
      </c>
      <c r="N240" s="164" t="s">
        <v>9</v>
      </c>
      <c r="O240" s="164" t="s">
        <v>9</v>
      </c>
      <c r="P240" s="138"/>
      <c r="Q240" s="83" t="s">
        <v>317</v>
      </c>
      <c r="R240" s="83"/>
      <c r="S240" s="108" t="s">
        <v>313</v>
      </c>
      <c r="T240" s="84">
        <v>488993.85</v>
      </c>
    </row>
    <row r="241" spans="2:21" ht="31.5" customHeight="1">
      <c r="B241" s="164">
        <v>244</v>
      </c>
      <c r="C241" s="164" t="s">
        <v>204</v>
      </c>
      <c r="D241" s="225" t="s">
        <v>314</v>
      </c>
      <c r="E241" s="226"/>
      <c r="F241" s="164">
        <f t="shared" si="8"/>
        <v>17</v>
      </c>
      <c r="G241" s="165">
        <v>554.4</v>
      </c>
      <c r="H241" s="72">
        <v>9270</v>
      </c>
      <c r="I241" s="224" t="s">
        <v>9</v>
      </c>
      <c r="J241" s="224"/>
      <c r="K241" s="224" t="s">
        <v>9</v>
      </c>
      <c r="L241" s="224"/>
      <c r="M241" s="164" t="s">
        <v>9</v>
      </c>
      <c r="N241" s="164" t="s">
        <v>9</v>
      </c>
      <c r="O241" s="164" t="s">
        <v>9</v>
      </c>
      <c r="P241" s="177"/>
      <c r="Q241" s="83" t="s">
        <v>318</v>
      </c>
      <c r="R241" s="83"/>
      <c r="S241" s="108" t="s">
        <v>7</v>
      </c>
      <c r="T241" s="130">
        <f>SUM(T236:T240)</f>
        <v>1577761.7200000002</v>
      </c>
      <c r="U241" s="73">
        <f>SUM(U236:U240)</f>
        <v>0</v>
      </c>
    </row>
    <row r="242" spans="2:21" ht="30.75" customHeight="1">
      <c r="B242" s="164">
        <v>244</v>
      </c>
      <c r="C242" s="164">
        <v>5</v>
      </c>
      <c r="D242" s="225" t="s">
        <v>284</v>
      </c>
      <c r="E242" s="226"/>
      <c r="F242" s="164" t="s">
        <v>9</v>
      </c>
      <c r="G242" s="164" t="s">
        <v>9</v>
      </c>
      <c r="H242" s="72">
        <f>SUM(H243:H249)</f>
        <v>221220.2</v>
      </c>
      <c r="I242" s="224" t="s">
        <v>9</v>
      </c>
      <c r="J242" s="224"/>
      <c r="K242" s="224" t="s">
        <v>9</v>
      </c>
      <c r="L242" s="224"/>
      <c r="M242" s="164" t="s">
        <v>9</v>
      </c>
      <c r="N242" s="164" t="s">
        <v>9</v>
      </c>
      <c r="O242" s="164" t="s">
        <v>9</v>
      </c>
      <c r="P242" s="138"/>
      <c r="Q242" s="83" t="s">
        <v>319</v>
      </c>
      <c r="R242" s="83"/>
      <c r="T242" s="73" t="b">
        <f>H251=U242</f>
        <v>1</v>
      </c>
      <c r="U242" s="110">
        <f>T241+U241</f>
        <v>1577761.7200000002</v>
      </c>
    </row>
    <row r="243" spans="2:21" ht="45.75" customHeight="1">
      <c r="B243" s="164">
        <v>244</v>
      </c>
      <c r="C243" s="164" t="s">
        <v>399</v>
      </c>
      <c r="D243" s="225" t="s">
        <v>380</v>
      </c>
      <c r="E243" s="226"/>
      <c r="F243" s="164">
        <f>ROUND((H243/G243),0)</f>
        <v>1</v>
      </c>
      <c r="G243" s="165">
        <f>7165.93-7000+718.5</f>
        <v>884.43000000000029</v>
      </c>
      <c r="H243" s="72">
        <f t="shared" ref="H243:H248" si="9">G243</f>
        <v>884.43000000000029</v>
      </c>
      <c r="I243" s="224" t="s">
        <v>9</v>
      </c>
      <c r="J243" s="224"/>
      <c r="K243" s="224" t="s">
        <v>9</v>
      </c>
      <c r="L243" s="224"/>
      <c r="M243" s="164" t="s">
        <v>9</v>
      </c>
      <c r="N243" s="164" t="s">
        <v>9</v>
      </c>
      <c r="O243" s="164" t="s">
        <v>9</v>
      </c>
      <c r="P243" s="138"/>
    </row>
    <row r="244" spans="2:21" ht="33" customHeight="1">
      <c r="B244" s="164">
        <v>244</v>
      </c>
      <c r="C244" s="164" t="s">
        <v>400</v>
      </c>
      <c r="D244" s="225" t="s">
        <v>285</v>
      </c>
      <c r="E244" s="226"/>
      <c r="F244" s="164">
        <f t="shared" si="8"/>
        <v>1</v>
      </c>
      <c r="G244" s="164">
        <f>4000+26320.2+2520+48996-1204.43-8126.42</f>
        <v>72505.350000000006</v>
      </c>
      <c r="H244" s="72">
        <f t="shared" si="9"/>
        <v>72505.350000000006</v>
      </c>
      <c r="I244" s="224" t="s">
        <v>9</v>
      </c>
      <c r="J244" s="224"/>
      <c r="K244" s="224" t="s">
        <v>9</v>
      </c>
      <c r="L244" s="224"/>
      <c r="M244" s="164" t="s">
        <v>9</v>
      </c>
      <c r="N244" s="164" t="s">
        <v>9</v>
      </c>
      <c r="O244" s="164" t="s">
        <v>9</v>
      </c>
      <c r="P244" s="138"/>
    </row>
    <row r="245" spans="2:21" ht="17.25" customHeight="1">
      <c r="B245" s="164">
        <v>244</v>
      </c>
      <c r="C245" s="164" t="s">
        <v>401</v>
      </c>
      <c r="D245" s="222" t="s">
        <v>394</v>
      </c>
      <c r="E245" s="223"/>
      <c r="F245" s="164">
        <f t="shared" si="8"/>
        <v>1</v>
      </c>
      <c r="G245" s="164">
        <f>10000-4720</f>
        <v>5280</v>
      </c>
      <c r="H245" s="72">
        <f t="shared" si="9"/>
        <v>5280</v>
      </c>
      <c r="I245" s="224" t="s">
        <v>9</v>
      </c>
      <c r="J245" s="224"/>
      <c r="K245" s="224" t="s">
        <v>9</v>
      </c>
      <c r="L245" s="224"/>
      <c r="M245" s="164" t="s">
        <v>9</v>
      </c>
      <c r="N245" s="195" t="s">
        <v>9</v>
      </c>
      <c r="O245" s="195" t="s">
        <v>9</v>
      </c>
      <c r="P245" s="138"/>
    </row>
    <row r="246" spans="2:21" ht="28.5" customHeight="1">
      <c r="B246" s="195">
        <v>244</v>
      </c>
      <c r="C246" s="195" t="s">
        <v>402</v>
      </c>
      <c r="D246" s="222" t="s">
        <v>427</v>
      </c>
      <c r="E246" s="223"/>
      <c r="F246" s="195">
        <v>1</v>
      </c>
      <c r="G246" s="195">
        <v>107524</v>
      </c>
      <c r="H246" s="72">
        <f t="shared" si="9"/>
        <v>107524</v>
      </c>
      <c r="I246" s="224" t="s">
        <v>9</v>
      </c>
      <c r="J246" s="224"/>
      <c r="K246" s="224" t="s">
        <v>9</v>
      </c>
      <c r="L246" s="224"/>
      <c r="M246" s="195" t="s">
        <v>9</v>
      </c>
      <c r="N246" s="195" t="s">
        <v>9</v>
      </c>
      <c r="O246" s="195" t="s">
        <v>9</v>
      </c>
      <c r="P246" s="138"/>
    </row>
    <row r="247" spans="2:21" ht="19.5" customHeight="1">
      <c r="B247" s="164">
        <v>244</v>
      </c>
      <c r="C247" s="195" t="s">
        <v>286</v>
      </c>
      <c r="D247" s="222" t="s">
        <v>413</v>
      </c>
      <c r="E247" s="223"/>
      <c r="F247" s="164">
        <v>1</v>
      </c>
      <c r="G247" s="164">
        <v>8126.42</v>
      </c>
      <c r="H247" s="72">
        <f t="shared" si="9"/>
        <v>8126.42</v>
      </c>
      <c r="I247" s="224" t="s">
        <v>9</v>
      </c>
      <c r="J247" s="224"/>
      <c r="K247" s="224" t="s">
        <v>9</v>
      </c>
      <c r="L247" s="224"/>
      <c r="M247" s="164" t="s">
        <v>9</v>
      </c>
      <c r="N247" s="164" t="s">
        <v>9</v>
      </c>
      <c r="O247" s="164" t="s">
        <v>9</v>
      </c>
      <c r="P247" s="177"/>
    </row>
    <row r="248" spans="2:21" ht="19.5" customHeight="1">
      <c r="B248" s="164">
        <v>244</v>
      </c>
      <c r="C248" s="195" t="s">
        <v>428</v>
      </c>
      <c r="D248" s="222" t="s">
        <v>429</v>
      </c>
      <c r="E248" s="223"/>
      <c r="F248" s="164">
        <v>1</v>
      </c>
      <c r="G248" s="164">
        <v>26900</v>
      </c>
      <c r="H248" s="72">
        <f t="shared" si="9"/>
        <v>26900</v>
      </c>
      <c r="I248" s="224" t="s">
        <v>9</v>
      </c>
      <c r="J248" s="224"/>
      <c r="K248" s="224" t="s">
        <v>9</v>
      </c>
      <c r="L248" s="224"/>
      <c r="M248" s="164" t="s">
        <v>9</v>
      </c>
      <c r="N248" s="164" t="s">
        <v>9</v>
      </c>
      <c r="O248" s="164" t="s">
        <v>9</v>
      </c>
      <c r="P248" s="177"/>
    </row>
    <row r="249" spans="2:21" ht="34.5" hidden="1" customHeight="1">
      <c r="B249" s="164">
        <v>244</v>
      </c>
      <c r="C249" s="164" t="s">
        <v>286</v>
      </c>
      <c r="D249" s="222" t="s">
        <v>376</v>
      </c>
      <c r="E249" s="223"/>
      <c r="F249" s="164">
        <f t="shared" si="8"/>
        <v>0</v>
      </c>
      <c r="G249" s="164">
        <v>108.2</v>
      </c>
      <c r="H249" s="72"/>
      <c r="I249" s="220" t="s">
        <v>9</v>
      </c>
      <c r="J249" s="221"/>
      <c r="K249" s="220" t="s">
        <v>9</v>
      </c>
      <c r="L249" s="221"/>
      <c r="M249" s="164" t="s">
        <v>9</v>
      </c>
      <c r="N249" s="164" t="s">
        <v>9</v>
      </c>
      <c r="O249" s="164" t="s">
        <v>9</v>
      </c>
      <c r="P249" s="177"/>
    </row>
    <row r="250" spans="2:21" ht="29.25" customHeight="1">
      <c r="B250" s="164">
        <v>244</v>
      </c>
      <c r="C250" s="164">
        <v>6</v>
      </c>
      <c r="D250" s="222" t="s">
        <v>398</v>
      </c>
      <c r="E250" s="223"/>
      <c r="F250" s="164">
        <f t="shared" si="8"/>
        <v>27</v>
      </c>
      <c r="G250" s="164">
        <v>120</v>
      </c>
      <c r="H250" s="72">
        <v>3223</v>
      </c>
      <c r="I250" s="224" t="s">
        <v>9</v>
      </c>
      <c r="J250" s="224"/>
      <c r="K250" s="224" t="s">
        <v>9</v>
      </c>
      <c r="L250" s="224"/>
      <c r="M250" s="164" t="s">
        <v>9</v>
      </c>
      <c r="N250" s="164" t="s">
        <v>9</v>
      </c>
      <c r="O250" s="164" t="s">
        <v>9</v>
      </c>
      <c r="P250" s="138"/>
      <c r="Q250" s="83" t="s">
        <v>320</v>
      </c>
      <c r="R250" s="83"/>
    </row>
    <row r="251" spans="2:21" ht="15.75" customHeight="1">
      <c r="B251" s="144"/>
      <c r="C251" s="230" t="s">
        <v>23</v>
      </c>
      <c r="D251" s="231"/>
      <c r="E251" s="232"/>
      <c r="F251" s="189" t="s">
        <v>9</v>
      </c>
      <c r="G251" s="189" t="s">
        <v>9</v>
      </c>
      <c r="H251" s="193">
        <f>H237+H240+H241+H242+H250+H236+R245</f>
        <v>1577761.72</v>
      </c>
      <c r="I251" s="233">
        <f>T236</f>
        <v>523376.97</v>
      </c>
      <c r="J251" s="233"/>
      <c r="K251" s="233">
        <f>T240</f>
        <v>488993.85</v>
      </c>
      <c r="L251" s="233"/>
      <c r="M251" s="193">
        <v>0</v>
      </c>
      <c r="N251" s="193">
        <f>T237+U237</f>
        <v>565390.9</v>
      </c>
      <c r="O251" s="190">
        <v>0</v>
      </c>
      <c r="P251" s="134"/>
      <c r="Q251" s="83" t="s">
        <v>311</v>
      </c>
      <c r="R251" s="83"/>
      <c r="S251" s="132">
        <f>SUM(I251:N251)</f>
        <v>1577761.72</v>
      </c>
      <c r="U251" s="110">
        <f>S251-H251</f>
        <v>0</v>
      </c>
    </row>
    <row r="252" spans="2:21" ht="15.75" customHeight="1">
      <c r="B252" s="75"/>
      <c r="C252" s="75"/>
      <c r="D252" s="75"/>
      <c r="E252" s="75"/>
      <c r="F252" s="75"/>
      <c r="G252" s="75"/>
      <c r="H252" s="159"/>
      <c r="I252" s="159"/>
      <c r="J252" s="159"/>
      <c r="K252" s="159"/>
      <c r="L252" s="159"/>
      <c r="M252" s="159"/>
      <c r="N252" s="159"/>
      <c r="O252" s="75"/>
      <c r="P252" s="75"/>
      <c r="S252" s="73" t="b">
        <f>S251=H251</f>
        <v>1</v>
      </c>
    </row>
    <row r="253" spans="2:21" ht="15" customHeight="1"/>
    <row r="254" spans="2:21" ht="15" customHeight="1"/>
    <row r="255" spans="2:21" ht="15" customHeight="1"/>
    <row r="256" spans="2:21" ht="15" customHeight="1"/>
    <row r="257" spans="4:14" ht="15" customHeight="1">
      <c r="D257" s="132">
        <f>F257-H257</f>
        <v>0</v>
      </c>
      <c r="E257" s="108" t="s">
        <v>321</v>
      </c>
      <c r="F257" s="88">
        <f>L17+G26+I35+I44+H59+H70+I82+F91+F100+H111+H120++I131+H140+J154+H172+H196+H205+H214+H228+I251</f>
        <v>17694868.859999999</v>
      </c>
      <c r="G257" s="73" t="b">
        <f>F257=H257</f>
        <v>1</v>
      </c>
      <c r="H257" s="84">
        <f>'Раздел 1'!D15+'Раздел 1'!D28</f>
        <v>17694868.859999999</v>
      </c>
      <c r="I257" s="160" t="s">
        <v>329</v>
      </c>
      <c r="J257" s="73">
        <v>111</v>
      </c>
      <c r="K257" s="110">
        <f>K17+E26</f>
        <v>10871813.289999999</v>
      </c>
      <c r="L257" s="73">
        <f>'Раздел 1'!D31</f>
        <v>10871813.289999999</v>
      </c>
      <c r="M257" s="73" t="b">
        <f>K257=L257</f>
        <v>1</v>
      </c>
    </row>
    <row r="258" spans="4:14" ht="15" customHeight="1">
      <c r="D258" s="132">
        <f t="shared" ref="D258" si="10">F258-H258</f>
        <v>0</v>
      </c>
      <c r="E258" s="108" t="s">
        <v>313</v>
      </c>
      <c r="F258" s="88">
        <f>M17+I26+K35+K44+J59+J70+K82+H91+H100+J111+J120+K131+J140+L154+J172+J196+J205+J228+K251</f>
        <v>938919.66999999993</v>
      </c>
      <c r="G258" s="73" t="b">
        <f>F258=H258</f>
        <v>1</v>
      </c>
      <c r="H258" s="108">
        <f>'Раздел 1'!D20</f>
        <v>938919.67</v>
      </c>
      <c r="J258" s="73">
        <v>112</v>
      </c>
      <c r="K258" s="132">
        <f>H35</f>
        <v>0</v>
      </c>
      <c r="L258" s="73">
        <f>'Раздел 1'!D32</f>
        <v>0</v>
      </c>
      <c r="M258" s="73" t="b">
        <f t="shared" ref="M258:M266" si="11">K258=L258</f>
        <v>1</v>
      </c>
      <c r="N258" s="132">
        <f>L258-K258</f>
        <v>0</v>
      </c>
    </row>
    <row r="259" spans="4:14" ht="15" customHeight="1">
      <c r="D259" s="132">
        <f>F259-H259</f>
        <v>0</v>
      </c>
      <c r="E259" s="108" t="s">
        <v>298</v>
      </c>
      <c r="F259" s="84">
        <f>O17+L26+N35+N44+M59+M70+N82+K91+K100+N111+N120+N131+M140+O154+M172+M196+M205+M228+N251</f>
        <v>566319.13</v>
      </c>
      <c r="G259" s="73" t="b">
        <f>F259=H259</f>
        <v>1</v>
      </c>
      <c r="H259" s="161">
        <f>'Раздел 1'!D16+F265-'Раздел 1'!D10</f>
        <v>566319.12999999989</v>
      </c>
      <c r="J259" s="73">
        <v>113</v>
      </c>
      <c r="K259" s="73">
        <f>H44</f>
        <v>0</v>
      </c>
      <c r="L259" s="73">
        <f>'Раздел 1'!D33</f>
        <v>0</v>
      </c>
      <c r="M259" s="73" t="b">
        <f t="shared" si="11"/>
        <v>1</v>
      </c>
      <c r="N259" s="132">
        <f t="shared" ref="N259:N266" si="12">L259-K259</f>
        <v>0</v>
      </c>
    </row>
    <row r="260" spans="4:14" ht="15" customHeight="1">
      <c r="E260" s="108" t="s">
        <v>7</v>
      </c>
      <c r="F260" s="84">
        <f>SUM(F257:F259)</f>
        <v>19200107.66</v>
      </c>
      <c r="G260" s="84">
        <f t="shared" ref="G260:H260" si="13">SUM(G257:G259)</f>
        <v>0</v>
      </c>
      <c r="H260" s="84">
        <f t="shared" si="13"/>
        <v>19200107.66</v>
      </c>
      <c r="J260" s="73">
        <v>119</v>
      </c>
      <c r="K260" s="132">
        <f>G59</f>
        <v>3261116.1199999996</v>
      </c>
      <c r="L260" s="110">
        <f>'Раздел 1'!D34</f>
        <v>3261116.12</v>
      </c>
      <c r="M260" s="73" t="b">
        <f t="shared" si="11"/>
        <v>1</v>
      </c>
      <c r="N260" s="132">
        <f t="shared" si="12"/>
        <v>0</v>
      </c>
    </row>
    <row r="261" spans="4:14" ht="15" customHeight="1">
      <c r="J261" s="73">
        <v>851</v>
      </c>
      <c r="K261" s="132">
        <f>H82</f>
        <v>99466</v>
      </c>
      <c r="L261" s="73">
        <f>'Раздел 1'!D45</f>
        <v>99466</v>
      </c>
      <c r="M261" s="73" t="b">
        <f t="shared" si="11"/>
        <v>1</v>
      </c>
      <c r="N261" s="132">
        <f t="shared" si="12"/>
        <v>0</v>
      </c>
    </row>
    <row r="262" spans="4:14" ht="15" customHeight="1">
      <c r="J262" s="73">
        <v>852</v>
      </c>
      <c r="K262" s="132">
        <f>E91</f>
        <v>0</v>
      </c>
      <c r="L262" s="73">
        <f>'Раздел 1'!D46</f>
        <v>0</v>
      </c>
      <c r="M262" s="73" t="b">
        <f t="shared" si="11"/>
        <v>1</v>
      </c>
      <c r="N262" s="132">
        <f t="shared" si="12"/>
        <v>0</v>
      </c>
    </row>
    <row r="263" spans="4:14" ht="15" customHeight="1">
      <c r="J263" s="73">
        <v>853</v>
      </c>
      <c r="K263" s="132">
        <f>E100</f>
        <v>0</v>
      </c>
      <c r="L263" s="73">
        <f>'Раздел 1'!D47</f>
        <v>0</v>
      </c>
      <c r="M263" s="73" t="b">
        <f t="shared" si="11"/>
        <v>1</v>
      </c>
      <c r="N263" s="132">
        <f t="shared" si="12"/>
        <v>0</v>
      </c>
    </row>
    <row r="264" spans="4:14" ht="15" customHeight="1">
      <c r="J264" s="73">
        <v>243</v>
      </c>
      <c r="K264" s="132">
        <f>G111+G120</f>
        <v>0</v>
      </c>
      <c r="M264" s="73" t="b">
        <f t="shared" si="11"/>
        <v>1</v>
      </c>
      <c r="N264" s="132">
        <f t="shared" si="12"/>
        <v>0</v>
      </c>
    </row>
    <row r="265" spans="4:14" ht="15" customHeight="1">
      <c r="E265" s="160" t="s">
        <v>393</v>
      </c>
      <c r="F265" s="100">
        <f>'Раздел 1'!D9</f>
        <v>17287.38</v>
      </c>
      <c r="J265" s="73">
        <v>244</v>
      </c>
      <c r="K265" s="110">
        <f>H131+G140+I154+G172+G196+G205+G228+H251</f>
        <v>4967712.25</v>
      </c>
      <c r="L265" s="110">
        <f>'Раздел 1'!D55</f>
        <v>4967712.25</v>
      </c>
      <c r="M265" s="73" t="b">
        <f t="shared" si="11"/>
        <v>1</v>
      </c>
      <c r="N265" s="132">
        <f t="shared" si="12"/>
        <v>0</v>
      </c>
    </row>
    <row r="266" spans="4:14" ht="15" customHeight="1">
      <c r="J266" s="73" t="s">
        <v>330</v>
      </c>
      <c r="K266" s="110">
        <f>SUM(K257:K265)</f>
        <v>19200107.659999996</v>
      </c>
      <c r="L266" s="110">
        <f>SUM(L257:L265)</f>
        <v>19200107.66</v>
      </c>
      <c r="M266" s="73" t="b">
        <f t="shared" si="11"/>
        <v>1</v>
      </c>
      <c r="N266" s="132">
        <f t="shared" si="12"/>
        <v>0</v>
      </c>
    </row>
    <row r="267" spans="4:14" ht="15" customHeight="1">
      <c r="K267" s="73" t="b">
        <f>F260=K266</f>
        <v>1</v>
      </c>
    </row>
    <row r="268" spans="4:14" ht="15" customHeight="1">
      <c r="K268" s="73" t="b">
        <f>K266=H260</f>
        <v>1</v>
      </c>
    </row>
    <row r="269" spans="4:14" ht="15" customHeight="1"/>
    <row r="270" spans="4:14" ht="15" customHeight="1"/>
    <row r="271" spans="4:14" ht="15" customHeight="1"/>
    <row r="272" spans="4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</sheetData>
  <mergeCells count="514">
    <mergeCell ref="H187:I187"/>
    <mergeCell ref="J187:K187"/>
    <mergeCell ref="H213:I213"/>
    <mergeCell ref="J213:K213"/>
    <mergeCell ref="C214:D214"/>
    <mergeCell ref="H214:I214"/>
    <mergeCell ref="J214:K214"/>
    <mergeCell ref="C3:N3"/>
    <mergeCell ref="C5:N5"/>
    <mergeCell ref="C7:N7"/>
    <mergeCell ref="E25:F25"/>
    <mergeCell ref="G25:H25"/>
    <mergeCell ref="I25:J25"/>
    <mergeCell ref="C26:D26"/>
    <mergeCell ref="E26:F26"/>
    <mergeCell ref="G26:H26"/>
    <mergeCell ref="I26:J26"/>
    <mergeCell ref="F10:F11"/>
    <mergeCell ref="G10:I10"/>
    <mergeCell ref="K10:K11"/>
    <mergeCell ref="L10:L11"/>
    <mergeCell ref="M10:M11"/>
    <mergeCell ref="K31:L32"/>
    <mergeCell ref="M31:M32"/>
    <mergeCell ref="B9:B11"/>
    <mergeCell ref="C9:C11"/>
    <mergeCell ref="D9:D11"/>
    <mergeCell ref="E9:E11"/>
    <mergeCell ref="F9:I9"/>
    <mergeCell ref="J9:J11"/>
    <mergeCell ref="L9:P9"/>
    <mergeCell ref="N22:O22"/>
    <mergeCell ref="E24:F24"/>
    <mergeCell ref="G24:H24"/>
    <mergeCell ref="I24:J24"/>
    <mergeCell ref="O10:P10"/>
    <mergeCell ref="C17:D17"/>
    <mergeCell ref="C19:N19"/>
    <mergeCell ref="B21:B23"/>
    <mergeCell ref="C21:C23"/>
    <mergeCell ref="N10:N11"/>
    <mergeCell ref="K22:K23"/>
    <mergeCell ref="L22:M22"/>
    <mergeCell ref="D21:D23"/>
    <mergeCell ref="E21:F23"/>
    <mergeCell ref="G21:M21"/>
    <mergeCell ref="G22:H23"/>
    <mergeCell ref="I22:J23"/>
    <mergeCell ref="N31:O31"/>
    <mergeCell ref="Q31:S31"/>
    <mergeCell ref="I33:J33"/>
    <mergeCell ref="K33:L33"/>
    <mergeCell ref="C28:N28"/>
    <mergeCell ref="B30:B32"/>
    <mergeCell ref="C30:C32"/>
    <mergeCell ref="D30:D32"/>
    <mergeCell ref="E30:E32"/>
    <mergeCell ref="F30:F32"/>
    <mergeCell ref="G30:G32"/>
    <mergeCell ref="I30:O30"/>
    <mergeCell ref="H31:H32"/>
    <mergeCell ref="I31:J32"/>
    <mergeCell ref="I34:J34"/>
    <mergeCell ref="K34:L34"/>
    <mergeCell ref="I35:J35"/>
    <mergeCell ref="K35:L35"/>
    <mergeCell ref="C37:N37"/>
    <mergeCell ref="B39:B41"/>
    <mergeCell ref="C39:C41"/>
    <mergeCell ref="D39:D41"/>
    <mergeCell ref="E39:E41"/>
    <mergeCell ref="F39:F41"/>
    <mergeCell ref="Q40:S40"/>
    <mergeCell ref="I42:J42"/>
    <mergeCell ref="K42:L42"/>
    <mergeCell ref="I43:J43"/>
    <mergeCell ref="K43:L43"/>
    <mergeCell ref="I44:J44"/>
    <mergeCell ref="K44:L44"/>
    <mergeCell ref="G39:G41"/>
    <mergeCell ref="I39:O39"/>
    <mergeCell ref="H40:H41"/>
    <mergeCell ref="I40:J41"/>
    <mergeCell ref="K40:L41"/>
    <mergeCell ref="M40:M41"/>
    <mergeCell ref="N40:O40"/>
    <mergeCell ref="L49:L50"/>
    <mergeCell ref="M49:N49"/>
    <mergeCell ref="H51:I51"/>
    <mergeCell ref="J51:K51"/>
    <mergeCell ref="H52:I52"/>
    <mergeCell ref="J52:K52"/>
    <mergeCell ref="C46:N46"/>
    <mergeCell ref="B48:B50"/>
    <mergeCell ref="C48:C50"/>
    <mergeCell ref="D48:D50"/>
    <mergeCell ref="E48:E50"/>
    <mergeCell ref="F48:F50"/>
    <mergeCell ref="G48:G50"/>
    <mergeCell ref="H48:N48"/>
    <mergeCell ref="H49:I50"/>
    <mergeCell ref="J49:K50"/>
    <mergeCell ref="H56:I56"/>
    <mergeCell ref="J56:K56"/>
    <mergeCell ref="H57:I57"/>
    <mergeCell ref="J57:K57"/>
    <mergeCell ref="H58:I58"/>
    <mergeCell ref="J58:K58"/>
    <mergeCell ref="H53:I53"/>
    <mergeCell ref="J53:K53"/>
    <mergeCell ref="H54:I54"/>
    <mergeCell ref="J54:K54"/>
    <mergeCell ref="H55:I55"/>
    <mergeCell ref="J55:K55"/>
    <mergeCell ref="H59:I59"/>
    <mergeCell ref="J59:K59"/>
    <mergeCell ref="B61:M61"/>
    <mergeCell ref="C63:M63"/>
    <mergeCell ref="B65:B67"/>
    <mergeCell ref="C65:C67"/>
    <mergeCell ref="D65:D67"/>
    <mergeCell ref="E65:E67"/>
    <mergeCell ref="F65:F67"/>
    <mergeCell ref="H65:N65"/>
    <mergeCell ref="H69:I69"/>
    <mergeCell ref="J69:K69"/>
    <mergeCell ref="H70:I70"/>
    <mergeCell ref="J70:K70"/>
    <mergeCell ref="C72:N72"/>
    <mergeCell ref="C74:N74"/>
    <mergeCell ref="G66:G67"/>
    <mergeCell ref="H66:I67"/>
    <mergeCell ref="J66:K67"/>
    <mergeCell ref="L66:L67"/>
    <mergeCell ref="M66:N66"/>
    <mergeCell ref="H68:I68"/>
    <mergeCell ref="J68:K68"/>
    <mergeCell ref="I76:O76"/>
    <mergeCell ref="I77:J78"/>
    <mergeCell ref="K77:L78"/>
    <mergeCell ref="M77:M78"/>
    <mergeCell ref="N77:O77"/>
    <mergeCell ref="I79:J79"/>
    <mergeCell ref="K79:L79"/>
    <mergeCell ref="B76:B78"/>
    <mergeCell ref="C76:C78"/>
    <mergeCell ref="D76:D78"/>
    <mergeCell ref="E76:F78"/>
    <mergeCell ref="G76:G78"/>
    <mergeCell ref="H76:H77"/>
    <mergeCell ref="B86:B88"/>
    <mergeCell ref="C86:C88"/>
    <mergeCell ref="D86:D88"/>
    <mergeCell ref="E86:E88"/>
    <mergeCell ref="F86:L86"/>
    <mergeCell ref="F87:G88"/>
    <mergeCell ref="E80:F80"/>
    <mergeCell ref="I80:J80"/>
    <mergeCell ref="K80:L80"/>
    <mergeCell ref="E81:F81"/>
    <mergeCell ref="I81:J81"/>
    <mergeCell ref="K81:L81"/>
    <mergeCell ref="H87:I88"/>
    <mergeCell ref="J87:J88"/>
    <mergeCell ref="K87:L87"/>
    <mergeCell ref="N87:O87"/>
    <mergeCell ref="F89:G89"/>
    <mergeCell ref="H89:I89"/>
    <mergeCell ref="E82:F82"/>
    <mergeCell ref="I82:J82"/>
    <mergeCell ref="K82:L82"/>
    <mergeCell ref="C84:M84"/>
    <mergeCell ref="N96:O96"/>
    <mergeCell ref="F98:G98"/>
    <mergeCell ref="H98:I98"/>
    <mergeCell ref="F90:G90"/>
    <mergeCell ref="H90:I90"/>
    <mergeCell ref="F91:G91"/>
    <mergeCell ref="H91:I91"/>
    <mergeCell ref="C93:M93"/>
    <mergeCell ref="B95:B97"/>
    <mergeCell ref="C95:C97"/>
    <mergeCell ref="D95:D97"/>
    <mergeCell ref="E95:E97"/>
    <mergeCell ref="F95:L95"/>
    <mergeCell ref="F99:G99"/>
    <mergeCell ref="H99:I99"/>
    <mergeCell ref="F100:G100"/>
    <mergeCell ref="H100:I100"/>
    <mergeCell ref="C102:M102"/>
    <mergeCell ref="C104:M104"/>
    <mergeCell ref="F96:G97"/>
    <mergeCell ref="H96:I97"/>
    <mergeCell ref="J96:J97"/>
    <mergeCell ref="K96:L96"/>
    <mergeCell ref="N107:O107"/>
    <mergeCell ref="H109:I109"/>
    <mergeCell ref="J109:K109"/>
    <mergeCell ref="L109:M109"/>
    <mergeCell ref="H110:I110"/>
    <mergeCell ref="J110:K110"/>
    <mergeCell ref="L110:M110"/>
    <mergeCell ref="B106:B108"/>
    <mergeCell ref="C106:C108"/>
    <mergeCell ref="D106:D108"/>
    <mergeCell ref="E106:E108"/>
    <mergeCell ref="F106:F108"/>
    <mergeCell ref="H106:O106"/>
    <mergeCell ref="G107:G108"/>
    <mergeCell ref="H107:I108"/>
    <mergeCell ref="J107:K108"/>
    <mergeCell ref="L107:M108"/>
    <mergeCell ref="N116:O116"/>
    <mergeCell ref="H118:I118"/>
    <mergeCell ref="J118:K118"/>
    <mergeCell ref="L118:M118"/>
    <mergeCell ref="H111:I111"/>
    <mergeCell ref="J111:K111"/>
    <mergeCell ref="L111:M111"/>
    <mergeCell ref="C113:M113"/>
    <mergeCell ref="B115:B117"/>
    <mergeCell ref="C115:C117"/>
    <mergeCell ref="D115:D117"/>
    <mergeCell ref="E115:E117"/>
    <mergeCell ref="F115:F117"/>
    <mergeCell ref="H115:O115"/>
    <mergeCell ref="H119:I119"/>
    <mergeCell ref="J119:K119"/>
    <mergeCell ref="L119:M119"/>
    <mergeCell ref="H120:I120"/>
    <mergeCell ref="J120:K120"/>
    <mergeCell ref="L120:M120"/>
    <mergeCell ref="G116:G117"/>
    <mergeCell ref="H116:I117"/>
    <mergeCell ref="J116:K117"/>
    <mergeCell ref="L116:M117"/>
    <mergeCell ref="N126:O126"/>
    <mergeCell ref="I128:J128"/>
    <mergeCell ref="K128:L128"/>
    <mergeCell ref="E121:M121"/>
    <mergeCell ref="E123:M123"/>
    <mergeCell ref="B125:B127"/>
    <mergeCell ref="C125:C127"/>
    <mergeCell ref="D125:D127"/>
    <mergeCell ref="E125:E127"/>
    <mergeCell ref="F125:F127"/>
    <mergeCell ref="G125:G127"/>
    <mergeCell ref="I125:O125"/>
    <mergeCell ref="H126:H127"/>
    <mergeCell ref="I129:J129"/>
    <mergeCell ref="K129:L129"/>
    <mergeCell ref="I130:J130"/>
    <mergeCell ref="K130:L130"/>
    <mergeCell ref="I131:J131"/>
    <mergeCell ref="K131:L131"/>
    <mergeCell ref="I126:J127"/>
    <mergeCell ref="K126:L127"/>
    <mergeCell ref="M126:M127"/>
    <mergeCell ref="L136:L137"/>
    <mergeCell ref="M136:N136"/>
    <mergeCell ref="H138:I138"/>
    <mergeCell ref="J138:K138"/>
    <mergeCell ref="H139:I139"/>
    <mergeCell ref="J139:K139"/>
    <mergeCell ref="E133:M133"/>
    <mergeCell ref="B135:B137"/>
    <mergeCell ref="C135:C137"/>
    <mergeCell ref="D135:D137"/>
    <mergeCell ref="E135:E137"/>
    <mergeCell ref="F135:F137"/>
    <mergeCell ref="H135:N135"/>
    <mergeCell ref="G136:G137"/>
    <mergeCell ref="H136:I137"/>
    <mergeCell ref="J136:K137"/>
    <mergeCell ref="N145:N146"/>
    <mergeCell ref="O145:P145"/>
    <mergeCell ref="D147:E147"/>
    <mergeCell ref="J147:K147"/>
    <mergeCell ref="L147:M147"/>
    <mergeCell ref="H140:I140"/>
    <mergeCell ref="J140:K140"/>
    <mergeCell ref="E142:M142"/>
    <mergeCell ref="B144:B146"/>
    <mergeCell ref="C144:C146"/>
    <mergeCell ref="D144:E146"/>
    <mergeCell ref="F144:F146"/>
    <mergeCell ref="G144:G146"/>
    <mergeCell ref="H144:H146"/>
    <mergeCell ref="J144:P144"/>
    <mergeCell ref="D148:E148"/>
    <mergeCell ref="J148:K148"/>
    <mergeCell ref="L148:M148"/>
    <mergeCell ref="I145:I146"/>
    <mergeCell ref="J145:K146"/>
    <mergeCell ref="L145:M146"/>
    <mergeCell ref="D152:E152"/>
    <mergeCell ref="J152:K152"/>
    <mergeCell ref="L152:M152"/>
    <mergeCell ref="D151:E151"/>
    <mergeCell ref="J151:K151"/>
    <mergeCell ref="L151:M151"/>
    <mergeCell ref="D153:E153"/>
    <mergeCell ref="J153:K153"/>
    <mergeCell ref="L153:M153"/>
    <mergeCell ref="D149:E149"/>
    <mergeCell ref="J149:K149"/>
    <mergeCell ref="L149:M149"/>
    <mergeCell ref="D150:E150"/>
    <mergeCell ref="J150:K150"/>
    <mergeCell ref="L150:M150"/>
    <mergeCell ref="L159:L160"/>
    <mergeCell ref="M159:N159"/>
    <mergeCell ref="H161:I161"/>
    <mergeCell ref="J161:K161"/>
    <mergeCell ref="C154:E154"/>
    <mergeCell ref="J154:K154"/>
    <mergeCell ref="L154:M154"/>
    <mergeCell ref="C156:M156"/>
    <mergeCell ref="B158:B160"/>
    <mergeCell ref="C158:C160"/>
    <mergeCell ref="D158:D160"/>
    <mergeCell ref="E158:E160"/>
    <mergeCell ref="F158:F160"/>
    <mergeCell ref="H158:N158"/>
    <mergeCell ref="H162:I162"/>
    <mergeCell ref="J162:K162"/>
    <mergeCell ref="H163:I163"/>
    <mergeCell ref="J163:K163"/>
    <mergeCell ref="H164:I164"/>
    <mergeCell ref="J164:K164"/>
    <mergeCell ref="G159:G160"/>
    <mergeCell ref="H159:I160"/>
    <mergeCell ref="J159:K160"/>
    <mergeCell ref="H165:I165"/>
    <mergeCell ref="J165:K165"/>
    <mergeCell ref="H166:I166"/>
    <mergeCell ref="J166:K166"/>
    <mergeCell ref="H167:I167"/>
    <mergeCell ref="J167:K167"/>
    <mergeCell ref="H171:I171"/>
    <mergeCell ref="J171:K171"/>
    <mergeCell ref="C172:D172"/>
    <mergeCell ref="H172:I172"/>
    <mergeCell ref="J172:K172"/>
    <mergeCell ref="H169:I169"/>
    <mergeCell ref="J169:K169"/>
    <mergeCell ref="H168:I168"/>
    <mergeCell ref="J168:K168"/>
    <mergeCell ref="H170:I170"/>
    <mergeCell ref="J170:K170"/>
    <mergeCell ref="L177:L178"/>
    <mergeCell ref="M177:N177"/>
    <mergeCell ref="H179:I179"/>
    <mergeCell ref="J179:K179"/>
    <mergeCell ref="H180:I180"/>
    <mergeCell ref="J180:K180"/>
    <mergeCell ref="C174:M174"/>
    <mergeCell ref="B176:B178"/>
    <mergeCell ref="C176:C178"/>
    <mergeCell ref="D176:D178"/>
    <mergeCell ref="E176:E178"/>
    <mergeCell ref="F176:F178"/>
    <mergeCell ref="H176:N176"/>
    <mergeCell ref="G177:G178"/>
    <mergeCell ref="H177:I178"/>
    <mergeCell ref="J177:K178"/>
    <mergeCell ref="H184:I184"/>
    <mergeCell ref="J184:K184"/>
    <mergeCell ref="H185:I185"/>
    <mergeCell ref="J185:K185"/>
    <mergeCell ref="H186:I186"/>
    <mergeCell ref="J186:K186"/>
    <mergeCell ref="H181:I181"/>
    <mergeCell ref="J181:K181"/>
    <mergeCell ref="H182:I182"/>
    <mergeCell ref="J182:K182"/>
    <mergeCell ref="H183:I183"/>
    <mergeCell ref="J183:K183"/>
    <mergeCell ref="H191:I191"/>
    <mergeCell ref="J191:K191"/>
    <mergeCell ref="H188:I188"/>
    <mergeCell ref="J188:K188"/>
    <mergeCell ref="H189:I189"/>
    <mergeCell ref="J189:K189"/>
    <mergeCell ref="C196:D196"/>
    <mergeCell ref="H196:I196"/>
    <mergeCell ref="J196:K196"/>
    <mergeCell ref="H195:I195"/>
    <mergeCell ref="J195:K195"/>
    <mergeCell ref="H193:I193"/>
    <mergeCell ref="J193:K193"/>
    <mergeCell ref="H192:I192"/>
    <mergeCell ref="J192:K192"/>
    <mergeCell ref="H194:I194"/>
    <mergeCell ref="J194:K194"/>
    <mergeCell ref="H190:I190"/>
    <mergeCell ref="J190:K190"/>
    <mergeCell ref="L201:L202"/>
    <mergeCell ref="M201:N201"/>
    <mergeCell ref="H203:I203"/>
    <mergeCell ref="J203:K203"/>
    <mergeCell ref="H204:I204"/>
    <mergeCell ref="J204:K204"/>
    <mergeCell ref="C198:M198"/>
    <mergeCell ref="B200:B202"/>
    <mergeCell ref="C200:C202"/>
    <mergeCell ref="D200:D202"/>
    <mergeCell ref="E200:E202"/>
    <mergeCell ref="F200:F202"/>
    <mergeCell ref="H200:N200"/>
    <mergeCell ref="G201:G202"/>
    <mergeCell ref="H201:I202"/>
    <mergeCell ref="J201:K202"/>
    <mergeCell ref="C205:D205"/>
    <mergeCell ref="H205:I205"/>
    <mergeCell ref="J205:K205"/>
    <mergeCell ref="C216:M216"/>
    <mergeCell ref="B218:B220"/>
    <mergeCell ref="C218:C220"/>
    <mergeCell ref="D218:D220"/>
    <mergeCell ref="E218:E220"/>
    <mergeCell ref="F218:F220"/>
    <mergeCell ref="H218:N218"/>
    <mergeCell ref="C207:M207"/>
    <mergeCell ref="B209:B211"/>
    <mergeCell ref="C209:C211"/>
    <mergeCell ref="D209:D211"/>
    <mergeCell ref="E209:E211"/>
    <mergeCell ref="F209:F211"/>
    <mergeCell ref="H209:N209"/>
    <mergeCell ref="G210:G211"/>
    <mergeCell ref="H210:I211"/>
    <mergeCell ref="J210:K211"/>
    <mergeCell ref="L210:L211"/>
    <mergeCell ref="M210:N210"/>
    <mergeCell ref="H212:I212"/>
    <mergeCell ref="J212:K212"/>
    <mergeCell ref="H222:I222"/>
    <mergeCell ref="J222:K222"/>
    <mergeCell ref="C228:D228"/>
    <mergeCell ref="H228:I228"/>
    <mergeCell ref="J228:K228"/>
    <mergeCell ref="G219:G220"/>
    <mergeCell ref="H219:I220"/>
    <mergeCell ref="J219:K220"/>
    <mergeCell ref="B232:B234"/>
    <mergeCell ref="C232:C234"/>
    <mergeCell ref="D232:E234"/>
    <mergeCell ref="F232:F234"/>
    <mergeCell ref="G232:G234"/>
    <mergeCell ref="I232:O232"/>
    <mergeCell ref="H233:H234"/>
    <mergeCell ref="I233:J234"/>
    <mergeCell ref="K233:L234"/>
    <mergeCell ref="M233:M234"/>
    <mergeCell ref="N233:O233"/>
    <mergeCell ref="L219:L220"/>
    <mergeCell ref="M219:N219"/>
    <mergeCell ref="H221:I221"/>
    <mergeCell ref="J221:K221"/>
    <mergeCell ref="H223:I223"/>
    <mergeCell ref="K235:L235"/>
    <mergeCell ref="D236:E236"/>
    <mergeCell ref="I236:J236"/>
    <mergeCell ref="K236:L236"/>
    <mergeCell ref="C230:M230"/>
    <mergeCell ref="D241:E241"/>
    <mergeCell ref="I241:J241"/>
    <mergeCell ref="K241:L241"/>
    <mergeCell ref="D238:E238"/>
    <mergeCell ref="D239:E239"/>
    <mergeCell ref="I238:J238"/>
    <mergeCell ref="K238:L238"/>
    <mergeCell ref="I239:J239"/>
    <mergeCell ref="K239:L239"/>
    <mergeCell ref="C251:E251"/>
    <mergeCell ref="I251:J251"/>
    <mergeCell ref="K251:L251"/>
    <mergeCell ref="D249:E249"/>
    <mergeCell ref="I249:J249"/>
    <mergeCell ref="K249:L249"/>
    <mergeCell ref="D245:E245"/>
    <mergeCell ref="I245:J245"/>
    <mergeCell ref="K245:L245"/>
    <mergeCell ref="D247:E247"/>
    <mergeCell ref="I247:J247"/>
    <mergeCell ref="K247:L247"/>
    <mergeCell ref="I246:J246"/>
    <mergeCell ref="K246:L246"/>
    <mergeCell ref="D246:E246"/>
    <mergeCell ref="J223:K223"/>
    <mergeCell ref="D248:E248"/>
    <mergeCell ref="I248:J248"/>
    <mergeCell ref="K248:L248"/>
    <mergeCell ref="D250:E250"/>
    <mergeCell ref="I250:J250"/>
    <mergeCell ref="K250:L250"/>
    <mergeCell ref="D243:E243"/>
    <mergeCell ref="I243:J243"/>
    <mergeCell ref="K243:L243"/>
    <mergeCell ref="D244:E244"/>
    <mergeCell ref="I244:J244"/>
    <mergeCell ref="K244:L244"/>
    <mergeCell ref="D242:E242"/>
    <mergeCell ref="I242:J242"/>
    <mergeCell ref="K242:L242"/>
    <mergeCell ref="D237:E237"/>
    <mergeCell ref="I237:J237"/>
    <mergeCell ref="K237:L237"/>
    <mergeCell ref="D240:E240"/>
    <mergeCell ref="I240:J240"/>
    <mergeCell ref="K240:L240"/>
    <mergeCell ref="D235:E235"/>
    <mergeCell ref="I235:J23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224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 2022г</vt:lpstr>
      <vt:lpstr>'Раздел 1'!Область_печати</vt:lpstr>
      <vt:lpstr>'Раздел 2'!Область_печати</vt:lpstr>
      <vt:lpstr>'Расчет 2022г'!Область_печати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lastPrinted>2023-10-25T09:35:41Z</cp:lastPrinted>
  <dcterms:created xsi:type="dcterms:W3CDTF">2017-01-05T07:07:42Z</dcterms:created>
  <dcterms:modified xsi:type="dcterms:W3CDTF">2024-02-08T13:08:09Z</dcterms:modified>
</cp:coreProperties>
</file>